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test\"/>
    </mc:Choice>
  </mc:AlternateContent>
  <bookViews>
    <workbookView xWindow="0" yWindow="0" windowWidth="19200" windowHeight="8115" activeTab="3"/>
  </bookViews>
  <sheets>
    <sheet name="DCF" sheetId="3" r:id="rId1"/>
    <sheet name="LBO" sheetId="7" r:id="rId2"/>
    <sheet name="CashFlow" sheetId="8" r:id="rId3"/>
    <sheet name="Operating Model" sheetId="9" r:id="rId4"/>
    <sheet name="Balance Sheet" sheetId="10" r:id="rId5"/>
    <sheet name="Working Capital" sheetId="11" r:id="rId6"/>
  </sheets>
  <definedNames>
    <definedName name="_xlnm.Print_Area" localSheetId="4">'Balance Sheet'!$C$3:$O$52</definedName>
    <definedName name="_xlnm.Print_Area" localSheetId="2">CashFlow!$B$3:$O$17,CashFlow!$B$19:$O$33,CashFlow!$B$35:$O$59,CashFlow!$B$61:$O$70,CashFlow!$B$72:$O$106,CashFlow!$B$109:$O$124</definedName>
    <definedName name="_xlnm.Print_Area" localSheetId="0">DCF!$B$3:$M$47</definedName>
    <definedName name="_xlnm.Print_Area" localSheetId="1">LBO!$B$3:$M$34,LBO!$B$36:$M$65,LBO!$B$67:$M$103,LBO!$B$105:$M$115,LBO!$B$117:$M$161,LBO!$B$164:$M$186</definedName>
    <definedName name="_xlnm.Print_Area" localSheetId="3">'Operating Model'!$C$3:$P$52,'Operating Model'!$R$2:$AB$52,'Operating Model'!$AD$3:$AN$52,'Operating Model'!$AP$3:$AZ$52,'Operating Model'!$BB$3:$BL$52</definedName>
    <definedName name="_xlnm.Print_Area" localSheetId="5">'Working Capital'!$C$3:$O$25,'Working Capital'!$Q$3:$AA$25</definedName>
  </definedNames>
  <calcPr calcId="162913" iterate="1" iterateDelta="9.9999999999994451E-4"/>
</workbook>
</file>

<file path=xl/calcChain.xml><?xml version="1.0" encoding="utf-8"?>
<calcChain xmlns="http://schemas.openxmlformats.org/spreadsheetml/2006/main">
  <c r="D21" i="11" l="1"/>
  <c r="Q20" i="11"/>
  <c r="E20" i="11"/>
  <c r="D20" i="11"/>
  <c r="C20" i="11"/>
  <c r="Q19" i="11"/>
  <c r="E19" i="11"/>
  <c r="D19" i="11"/>
  <c r="C19" i="11"/>
  <c r="Q18" i="11"/>
  <c r="E18" i="11"/>
  <c r="D18" i="11"/>
  <c r="C18" i="11"/>
  <c r="X17" i="11"/>
  <c r="Y17" i="11" s="1"/>
  <c r="Z17" i="11" s="1"/>
  <c r="AA17" i="11" s="1"/>
  <c r="Q17" i="11"/>
  <c r="E17" i="11"/>
  <c r="R17" i="11" s="1"/>
  <c r="S17" i="11" s="1"/>
  <c r="T17" i="11" s="1"/>
  <c r="U17" i="11" s="1"/>
  <c r="V17" i="11" s="1"/>
  <c r="W17" i="11" s="1"/>
  <c r="D17" i="11"/>
  <c r="C17" i="11"/>
  <c r="D14" i="11"/>
  <c r="D23" i="11" s="1"/>
  <c r="Q13" i="11"/>
  <c r="E13" i="11"/>
  <c r="D13" i="11"/>
  <c r="C13" i="11"/>
  <c r="X12" i="11"/>
  <c r="Y12" i="11" s="1"/>
  <c r="Z12" i="11" s="1"/>
  <c r="AA12" i="11" s="1"/>
  <c r="Q12" i="11"/>
  <c r="E12" i="11"/>
  <c r="R12" i="11" s="1"/>
  <c r="S12" i="11" s="1"/>
  <c r="T12" i="11" s="1"/>
  <c r="U12" i="11" s="1"/>
  <c r="V12" i="11" s="1"/>
  <c r="W12" i="11" s="1"/>
  <c r="D12" i="11"/>
  <c r="C12" i="11"/>
  <c r="Q11" i="11"/>
  <c r="E11" i="11"/>
  <c r="D11" i="11"/>
  <c r="C11" i="11"/>
  <c r="E8" i="11"/>
  <c r="D8" i="11"/>
  <c r="E47" i="10"/>
  <c r="D47" i="10"/>
  <c r="E43" i="10"/>
  <c r="E49" i="10" s="1"/>
  <c r="E41" i="10"/>
  <c r="D41" i="10"/>
  <c r="E36" i="10"/>
  <c r="C9" i="7" s="1"/>
  <c r="D36" i="10"/>
  <c r="E31" i="10"/>
  <c r="D31" i="10"/>
  <c r="D43" i="10" s="1"/>
  <c r="E22" i="10"/>
  <c r="D22" i="10"/>
  <c r="E15" i="10"/>
  <c r="D15" i="10"/>
  <c r="E9" i="10"/>
  <c r="E24" i="10" s="1"/>
  <c r="D9" i="10"/>
  <c r="D24" i="10" s="1"/>
  <c r="L5" i="10"/>
  <c r="M5" i="10" s="1"/>
  <c r="N5" i="10" s="1"/>
  <c r="O5" i="10" s="1"/>
  <c r="E5" i="10"/>
  <c r="F5" i="10" s="1"/>
  <c r="G5" i="10" s="1"/>
  <c r="H5" i="10" s="1"/>
  <c r="I5" i="10" s="1"/>
  <c r="J5" i="10" s="1"/>
  <c r="K5" i="10" s="1"/>
  <c r="BD50" i="9"/>
  <c r="BE50" i="9" s="1"/>
  <c r="BF50" i="9" s="1"/>
  <c r="BG50" i="9" s="1"/>
  <c r="BH50" i="9" s="1"/>
  <c r="BI50" i="9" s="1"/>
  <c r="BJ50" i="9" s="1"/>
  <c r="BK50" i="9" s="1"/>
  <c r="BL50" i="9" s="1"/>
  <c r="BB50" i="9"/>
  <c r="AW50" i="9"/>
  <c r="AX50" i="9" s="1"/>
  <c r="AY50" i="9" s="1"/>
  <c r="AZ50" i="9" s="1"/>
  <c r="AU50" i="9"/>
  <c r="AV50" i="9" s="1"/>
  <c r="AT50" i="9"/>
  <c r="AS50" i="9"/>
  <c r="AR50" i="9"/>
  <c r="AP50" i="9"/>
  <c r="AF50" i="9"/>
  <c r="AD50" i="9"/>
  <c r="S50" i="9"/>
  <c r="R50" i="9"/>
  <c r="BC47" i="9"/>
  <c r="BD47" i="9" s="1"/>
  <c r="BE47" i="9" s="1"/>
  <c r="BF47" i="9" s="1"/>
  <c r="BG47" i="9" s="1"/>
  <c r="BH47" i="9" s="1"/>
  <c r="BI47" i="9" s="1"/>
  <c r="BJ47" i="9" s="1"/>
  <c r="BK47" i="9" s="1"/>
  <c r="BL47" i="9" s="1"/>
  <c r="BB47" i="9"/>
  <c r="AP47" i="9"/>
  <c r="AD47" i="9"/>
  <c r="R47" i="9"/>
  <c r="BB41" i="9"/>
  <c r="AP41" i="9"/>
  <c r="AD41" i="9"/>
  <c r="R41" i="9"/>
  <c r="P37" i="9"/>
  <c r="O37" i="9"/>
  <c r="N37" i="9"/>
  <c r="M37" i="9"/>
  <c r="L37" i="9"/>
  <c r="K112" i="7" s="1"/>
  <c r="K37" i="9"/>
  <c r="J37" i="9"/>
  <c r="I37" i="9"/>
  <c r="H37" i="9"/>
  <c r="G112" i="7" s="1"/>
  <c r="G37" i="9"/>
  <c r="F37" i="9"/>
  <c r="E37" i="9"/>
  <c r="D37" i="9"/>
  <c r="J35" i="9"/>
  <c r="H35" i="9"/>
  <c r="BB27" i="9"/>
  <c r="AP27" i="9"/>
  <c r="AD27" i="9"/>
  <c r="R27" i="9"/>
  <c r="F19" i="9"/>
  <c r="F20" i="9" s="1"/>
  <c r="E19" i="9"/>
  <c r="E20" i="9" s="1"/>
  <c r="D19" i="9"/>
  <c r="BB18" i="9"/>
  <c r="AP18" i="9"/>
  <c r="AD18" i="9"/>
  <c r="BB17" i="9"/>
  <c r="AP17" i="9"/>
  <c r="AD17" i="9"/>
  <c r="BB16" i="9"/>
  <c r="AP16" i="9"/>
  <c r="AD16" i="9"/>
  <c r="BB15" i="9"/>
  <c r="AP15" i="9"/>
  <c r="AD15" i="9"/>
  <c r="BB14" i="9"/>
  <c r="AP14" i="9"/>
  <c r="AD14" i="9"/>
  <c r="BB13" i="9"/>
  <c r="AP13" i="9"/>
  <c r="AD13" i="9"/>
  <c r="F9" i="9"/>
  <c r="AE14" i="9" s="1"/>
  <c r="E9" i="9"/>
  <c r="D9" i="9"/>
  <c r="D22" i="9" s="1"/>
  <c r="D39" i="9" s="1"/>
  <c r="BK8" i="9"/>
  <c r="BL8" i="9" s="1"/>
  <c r="BD8" i="9"/>
  <c r="BE8" i="9" s="1"/>
  <c r="BF8" i="9" s="1"/>
  <c r="BG8" i="9" s="1"/>
  <c r="BH8" i="9" s="1"/>
  <c r="BI8" i="9" s="1"/>
  <c r="BJ8" i="9" s="1"/>
  <c r="BC8" i="9"/>
  <c r="BB8" i="9"/>
  <c r="AY8" i="9"/>
  <c r="AZ8" i="9" s="1"/>
  <c r="AU8" i="9"/>
  <c r="AV8" i="9" s="1"/>
  <c r="AW8" i="9" s="1"/>
  <c r="AX8" i="9" s="1"/>
  <c r="AT8" i="9"/>
  <c r="AR8" i="9"/>
  <c r="AS8" i="9" s="1"/>
  <c r="AQ8" i="9"/>
  <c r="AP8" i="9"/>
  <c r="AE8" i="9"/>
  <c r="AD8" i="9"/>
  <c r="R8" i="9"/>
  <c r="G5" i="9"/>
  <c r="F5" i="9"/>
  <c r="E5" i="11" s="1"/>
  <c r="E5" i="9"/>
  <c r="D5" i="11" s="1"/>
  <c r="C98" i="8"/>
  <c r="E98" i="8" s="1"/>
  <c r="C95" i="8"/>
  <c r="E95" i="8" s="1"/>
  <c r="F32" i="8" s="1"/>
  <c r="C94" i="8"/>
  <c r="E94" i="8" s="1"/>
  <c r="C91" i="8"/>
  <c r="E91" i="8" s="1"/>
  <c r="F91" i="8" s="1"/>
  <c r="B91" i="8"/>
  <c r="E90" i="8"/>
  <c r="F90" i="8" s="1"/>
  <c r="C90" i="8"/>
  <c r="B90" i="8"/>
  <c r="F84" i="8"/>
  <c r="C84" i="8"/>
  <c r="E84" i="8" s="1"/>
  <c r="B84" i="8"/>
  <c r="E83" i="8"/>
  <c r="F83" i="8" s="1"/>
  <c r="F20" i="10" s="1"/>
  <c r="C83" i="8"/>
  <c r="B83" i="8"/>
  <c r="C82" i="8"/>
  <c r="E82" i="8" s="1"/>
  <c r="B82" i="8"/>
  <c r="E81" i="8"/>
  <c r="C81" i="8"/>
  <c r="B81" i="8"/>
  <c r="C76" i="8"/>
  <c r="F74" i="8"/>
  <c r="O67" i="8"/>
  <c r="N67" i="8"/>
  <c r="M67" i="8"/>
  <c r="L67" i="8"/>
  <c r="K67" i="8"/>
  <c r="J67" i="8"/>
  <c r="I67" i="8"/>
  <c r="H67" i="8"/>
  <c r="G67" i="8"/>
  <c r="F67" i="8"/>
  <c r="O59" i="8"/>
  <c r="N59" i="8"/>
  <c r="O58" i="8"/>
  <c r="N58" i="8"/>
  <c r="M58" i="8"/>
  <c r="L58" i="8"/>
  <c r="K58" i="8"/>
  <c r="J58" i="8"/>
  <c r="J59" i="8" s="1"/>
  <c r="I58" i="8"/>
  <c r="H58" i="8"/>
  <c r="G58" i="8"/>
  <c r="F58" i="8"/>
  <c r="O57" i="8"/>
  <c r="N57" i="8"/>
  <c r="M57" i="8"/>
  <c r="L57" i="8"/>
  <c r="K57" i="8"/>
  <c r="J57" i="8"/>
  <c r="I57" i="8"/>
  <c r="H57" i="8"/>
  <c r="G57" i="8"/>
  <c r="F57" i="8"/>
  <c r="O56" i="8"/>
  <c r="P35" i="9" s="1"/>
  <c r="N56" i="8"/>
  <c r="O35" i="9" s="1"/>
  <c r="M56" i="8"/>
  <c r="N35" i="9" s="1"/>
  <c r="L56" i="8"/>
  <c r="K56" i="8"/>
  <c r="L35" i="9" s="1"/>
  <c r="J56" i="8"/>
  <c r="K35" i="9" s="1"/>
  <c r="I56" i="8"/>
  <c r="H56" i="8"/>
  <c r="I35" i="9" s="1"/>
  <c r="G56" i="8"/>
  <c r="G59" i="8" s="1"/>
  <c r="F56" i="8"/>
  <c r="G35" i="9" s="1"/>
  <c r="F37" i="8"/>
  <c r="B32" i="8"/>
  <c r="B31" i="8"/>
  <c r="F29" i="8"/>
  <c r="O25" i="8"/>
  <c r="N25" i="8"/>
  <c r="M25" i="8"/>
  <c r="L25" i="8"/>
  <c r="K25" i="8"/>
  <c r="J25" i="8"/>
  <c r="I25" i="8"/>
  <c r="H25" i="8"/>
  <c r="G25" i="8"/>
  <c r="F25" i="8"/>
  <c r="B24" i="8"/>
  <c r="B23" i="8"/>
  <c r="O10" i="8"/>
  <c r="O8" i="8"/>
  <c r="N8" i="8"/>
  <c r="M8" i="8"/>
  <c r="L8" i="8"/>
  <c r="K8" i="8"/>
  <c r="J8" i="8"/>
  <c r="I8" i="8"/>
  <c r="H8" i="8"/>
  <c r="G8" i="8"/>
  <c r="F8" i="8"/>
  <c r="F5" i="8"/>
  <c r="F169" i="7"/>
  <c r="G169" i="7" s="1"/>
  <c r="M168" i="7"/>
  <c r="L168" i="7"/>
  <c r="K168" i="7"/>
  <c r="J168" i="7"/>
  <c r="I168" i="7"/>
  <c r="H168" i="7"/>
  <c r="G168" i="7"/>
  <c r="F168" i="7"/>
  <c r="C153" i="7"/>
  <c r="C150" i="7"/>
  <c r="C149" i="7"/>
  <c r="B149" i="7"/>
  <c r="F148" i="7"/>
  <c r="D148" i="7"/>
  <c r="E148" i="7" s="1"/>
  <c r="F62" i="7" s="1"/>
  <c r="B148" i="7"/>
  <c r="E147" i="7"/>
  <c r="F147" i="7" s="1"/>
  <c r="D147" i="7"/>
  <c r="B147" i="7"/>
  <c r="D146" i="7"/>
  <c r="E146" i="7" s="1"/>
  <c r="B146" i="7"/>
  <c r="D145" i="7"/>
  <c r="E145" i="7" s="1"/>
  <c r="B145" i="7"/>
  <c r="D144" i="7"/>
  <c r="E144" i="7" s="1"/>
  <c r="F58" i="7" s="1"/>
  <c r="B144" i="7"/>
  <c r="E143" i="7"/>
  <c r="D143" i="7"/>
  <c r="B143" i="7"/>
  <c r="E142" i="7"/>
  <c r="D142" i="7"/>
  <c r="B142" i="7"/>
  <c r="D141" i="7"/>
  <c r="E141" i="7" s="1"/>
  <c r="B141" i="7"/>
  <c r="F137" i="7"/>
  <c r="G137" i="7" s="1"/>
  <c r="H137" i="7" s="1"/>
  <c r="I137" i="7" s="1"/>
  <c r="J137" i="7" s="1"/>
  <c r="K137" i="7" s="1"/>
  <c r="L137" i="7" s="1"/>
  <c r="M137" i="7" s="1"/>
  <c r="C137" i="7"/>
  <c r="E137" i="7" s="1"/>
  <c r="B137" i="7"/>
  <c r="J136" i="7"/>
  <c r="K136" i="7" s="1"/>
  <c r="L136" i="7" s="1"/>
  <c r="M136" i="7" s="1"/>
  <c r="E136" i="7"/>
  <c r="F136" i="7" s="1"/>
  <c r="G136" i="7" s="1"/>
  <c r="H136" i="7" s="1"/>
  <c r="I136" i="7" s="1"/>
  <c r="C136" i="7"/>
  <c r="B136" i="7"/>
  <c r="E130" i="7"/>
  <c r="F130" i="7" s="1"/>
  <c r="G130" i="7" s="1"/>
  <c r="H130" i="7" s="1"/>
  <c r="I130" i="7" s="1"/>
  <c r="J130" i="7" s="1"/>
  <c r="K130" i="7" s="1"/>
  <c r="L130" i="7" s="1"/>
  <c r="M130" i="7" s="1"/>
  <c r="D130" i="7"/>
  <c r="C129" i="7"/>
  <c r="E129" i="7" s="1"/>
  <c r="F129" i="7" s="1"/>
  <c r="G129" i="7" s="1"/>
  <c r="H129" i="7" s="1"/>
  <c r="I129" i="7" s="1"/>
  <c r="J129" i="7" s="1"/>
  <c r="K129" i="7" s="1"/>
  <c r="L129" i="7" s="1"/>
  <c r="M129" i="7" s="1"/>
  <c r="B129" i="7"/>
  <c r="M128" i="7"/>
  <c r="E128" i="7"/>
  <c r="F128" i="7" s="1"/>
  <c r="G128" i="7" s="1"/>
  <c r="H128" i="7" s="1"/>
  <c r="I128" i="7" s="1"/>
  <c r="J128" i="7" s="1"/>
  <c r="K128" i="7" s="1"/>
  <c r="L128" i="7" s="1"/>
  <c r="C128" i="7"/>
  <c r="B128" i="7"/>
  <c r="C127" i="7"/>
  <c r="B127" i="7"/>
  <c r="C126" i="7"/>
  <c r="E126" i="7" s="1"/>
  <c r="B126" i="7"/>
  <c r="E121" i="7"/>
  <c r="D121" i="7"/>
  <c r="C121" i="7"/>
  <c r="M112" i="7"/>
  <c r="L112" i="7"/>
  <c r="J112" i="7"/>
  <c r="I112" i="7"/>
  <c r="H112" i="7"/>
  <c r="F112" i="7"/>
  <c r="M111" i="7"/>
  <c r="L111" i="7"/>
  <c r="K111" i="7"/>
  <c r="J111" i="7"/>
  <c r="I111" i="7"/>
  <c r="H111" i="7"/>
  <c r="G111" i="7"/>
  <c r="F111" i="7"/>
  <c r="M101" i="7"/>
  <c r="L101" i="7"/>
  <c r="K101" i="7"/>
  <c r="J101" i="7"/>
  <c r="I101" i="7"/>
  <c r="H101" i="7"/>
  <c r="G101" i="7"/>
  <c r="F101" i="7"/>
  <c r="B101" i="7"/>
  <c r="M100" i="7"/>
  <c r="L100" i="7"/>
  <c r="K100" i="7"/>
  <c r="J100" i="7"/>
  <c r="I100" i="7"/>
  <c r="H100" i="7"/>
  <c r="G100" i="7"/>
  <c r="F100" i="7"/>
  <c r="B100" i="7"/>
  <c r="M99" i="7"/>
  <c r="L99" i="7"/>
  <c r="K99" i="7"/>
  <c r="J99" i="7"/>
  <c r="I99" i="7"/>
  <c r="H99" i="7"/>
  <c r="G99" i="7"/>
  <c r="F99" i="7"/>
  <c r="B99" i="7"/>
  <c r="M98" i="7"/>
  <c r="L98" i="7"/>
  <c r="K98" i="7"/>
  <c r="J98" i="7"/>
  <c r="I98" i="7"/>
  <c r="H98" i="7"/>
  <c r="G98" i="7"/>
  <c r="F98" i="7"/>
  <c r="B98" i="7"/>
  <c r="M97" i="7"/>
  <c r="L97" i="7"/>
  <c r="K97" i="7"/>
  <c r="J97" i="7"/>
  <c r="I97" i="7"/>
  <c r="H97" i="7"/>
  <c r="G97" i="7"/>
  <c r="F97" i="7"/>
  <c r="B97" i="7"/>
  <c r="M96" i="7"/>
  <c r="L96" i="7"/>
  <c r="K96" i="7"/>
  <c r="J96" i="7"/>
  <c r="I96" i="7"/>
  <c r="H96" i="7"/>
  <c r="G96" i="7"/>
  <c r="F96" i="7"/>
  <c r="B96" i="7"/>
  <c r="M95" i="7"/>
  <c r="L95" i="7"/>
  <c r="K95" i="7"/>
  <c r="J95" i="7"/>
  <c r="I95" i="7"/>
  <c r="H95" i="7"/>
  <c r="G95" i="7"/>
  <c r="F95" i="7"/>
  <c r="B95" i="7"/>
  <c r="M94" i="7"/>
  <c r="L94" i="7"/>
  <c r="K94" i="7"/>
  <c r="J94" i="7"/>
  <c r="I94" i="7"/>
  <c r="H94" i="7"/>
  <c r="H102" i="7" s="1"/>
  <c r="G94" i="7"/>
  <c r="F94" i="7"/>
  <c r="B94" i="7"/>
  <c r="M93" i="7"/>
  <c r="M102" i="7" s="1"/>
  <c r="L93" i="7"/>
  <c r="L102" i="7" s="1"/>
  <c r="K93" i="7"/>
  <c r="J93" i="7"/>
  <c r="I93" i="7"/>
  <c r="H93" i="7"/>
  <c r="G93" i="7"/>
  <c r="F93" i="7"/>
  <c r="B93" i="7"/>
  <c r="M92" i="7"/>
  <c r="L92" i="7"/>
  <c r="K92" i="7"/>
  <c r="J92" i="7"/>
  <c r="I92" i="7"/>
  <c r="H92" i="7"/>
  <c r="G92" i="7"/>
  <c r="F92" i="7"/>
  <c r="M91" i="7"/>
  <c r="L91" i="7"/>
  <c r="K91" i="7"/>
  <c r="J91" i="7"/>
  <c r="I91" i="7"/>
  <c r="I102" i="7" s="1"/>
  <c r="H91" i="7"/>
  <c r="G91" i="7"/>
  <c r="F91" i="7"/>
  <c r="B91" i="7"/>
  <c r="M90" i="7"/>
  <c r="L90" i="7"/>
  <c r="K90" i="7"/>
  <c r="K102" i="7" s="1"/>
  <c r="K110" i="7" s="1"/>
  <c r="J90" i="7"/>
  <c r="I90" i="7"/>
  <c r="H90" i="7"/>
  <c r="G90" i="7"/>
  <c r="G102" i="7" s="1"/>
  <c r="F90" i="7"/>
  <c r="B82" i="7"/>
  <c r="B81" i="7"/>
  <c r="B80" i="7"/>
  <c r="B79" i="7"/>
  <c r="B62" i="7"/>
  <c r="F61" i="7"/>
  <c r="B61" i="7"/>
  <c r="B60" i="7"/>
  <c r="B59" i="7"/>
  <c r="B58" i="7"/>
  <c r="F57" i="7"/>
  <c r="B57" i="7"/>
  <c r="B56" i="7"/>
  <c r="B55" i="7"/>
  <c r="M50" i="7"/>
  <c r="L50" i="7"/>
  <c r="K50" i="7"/>
  <c r="J50" i="7"/>
  <c r="I50" i="7"/>
  <c r="H50" i="7"/>
  <c r="G50" i="7"/>
  <c r="F50" i="7"/>
  <c r="B47" i="7"/>
  <c r="B46" i="7"/>
  <c r="B45" i="7"/>
  <c r="B44" i="7"/>
  <c r="B43" i="7"/>
  <c r="B42" i="7"/>
  <c r="B41" i="7"/>
  <c r="B40" i="7"/>
  <c r="K28" i="7"/>
  <c r="M26" i="7"/>
  <c r="L26" i="7"/>
  <c r="K26" i="7"/>
  <c r="J26" i="7"/>
  <c r="I26" i="7"/>
  <c r="H26" i="7"/>
  <c r="G26" i="7"/>
  <c r="F26" i="7"/>
  <c r="F23" i="7"/>
  <c r="T18" i="7"/>
  <c r="S18" i="7"/>
  <c r="R18" i="7"/>
  <c r="Q18" i="7"/>
  <c r="P18" i="7"/>
  <c r="B17" i="7"/>
  <c r="T12" i="7"/>
  <c r="T15" i="7" s="1"/>
  <c r="T16" i="7" s="1"/>
  <c r="T17" i="7" s="1"/>
  <c r="T19" i="7" s="1"/>
  <c r="T20" i="7" s="1"/>
  <c r="S12" i="7"/>
  <c r="S15" i="7" s="1"/>
  <c r="S16" i="7" s="1"/>
  <c r="S17" i="7" s="1"/>
  <c r="S19" i="7" s="1"/>
  <c r="S20" i="7" s="1"/>
  <c r="R12" i="7"/>
  <c r="R15" i="7" s="1"/>
  <c r="R16" i="7" s="1"/>
  <c r="R17" i="7" s="1"/>
  <c r="R19" i="7" s="1"/>
  <c r="R20" i="7" s="1"/>
  <c r="Q12" i="7"/>
  <c r="Q15" i="7" s="1"/>
  <c r="Q16" i="7" s="1"/>
  <c r="Q17" i="7" s="1"/>
  <c r="Q19" i="7" s="1"/>
  <c r="Q20" i="7" s="1"/>
  <c r="P12" i="7"/>
  <c r="P15" i="7" s="1"/>
  <c r="P16" i="7" s="1"/>
  <c r="P17" i="7" s="1"/>
  <c r="P19" i="7" s="1"/>
  <c r="P20" i="7" s="1"/>
  <c r="M6" i="7" s="1"/>
  <c r="C10" i="7"/>
  <c r="M9" i="7"/>
  <c r="D150" i="7" s="1"/>
  <c r="J9" i="7"/>
  <c r="M8" i="7"/>
  <c r="D149" i="7" s="1"/>
  <c r="J8" i="7"/>
  <c r="B63" i="7" s="1"/>
  <c r="G39" i="3"/>
  <c r="D39" i="3"/>
  <c r="D29" i="3"/>
  <c r="E28" i="3"/>
  <c r="E29" i="3" s="1"/>
  <c r="E27" i="3"/>
  <c r="F27" i="3" s="1"/>
  <c r="G27" i="3" s="1"/>
  <c r="H27" i="3" s="1"/>
  <c r="I27" i="3" s="1"/>
  <c r="J27" i="3" s="1"/>
  <c r="K27" i="3" s="1"/>
  <c r="L27" i="3" s="1"/>
  <c r="M27" i="3" s="1"/>
  <c r="D27" i="3"/>
  <c r="D20" i="3"/>
  <c r="D43" i="3" s="1"/>
  <c r="G43" i="3" s="1"/>
  <c r="B12" i="3"/>
  <c r="D6" i="3"/>
  <c r="B46" i="3" s="1"/>
  <c r="M28" i="7" l="1"/>
  <c r="M110" i="7"/>
  <c r="G110" i="7"/>
  <c r="G28" i="7"/>
  <c r="H28" i="7"/>
  <c r="H110" i="7"/>
  <c r="F60" i="7"/>
  <c r="F146" i="7" s="1"/>
  <c r="G147" i="7"/>
  <c r="G61" i="7"/>
  <c r="G62" i="7"/>
  <c r="G148" i="7"/>
  <c r="B95" i="8"/>
  <c r="B58" i="8"/>
  <c r="B48" i="8"/>
  <c r="O34" i="9"/>
  <c r="N66" i="8"/>
  <c r="N10" i="8"/>
  <c r="I28" i="7"/>
  <c r="I110" i="7"/>
  <c r="L28" i="7"/>
  <c r="L110" i="7"/>
  <c r="F56" i="7"/>
  <c r="B47" i="8"/>
  <c r="B94" i="8"/>
  <c r="B57" i="8"/>
  <c r="H34" i="9"/>
  <c r="G66" i="8"/>
  <c r="G10" i="8"/>
  <c r="D24" i="3"/>
  <c r="E76" i="8"/>
  <c r="F28" i="3"/>
  <c r="B64" i="7"/>
  <c r="B150" i="7"/>
  <c r="B49" i="7"/>
  <c r="K34" i="9"/>
  <c r="J10" i="8"/>
  <c r="J66" i="8"/>
  <c r="F181" i="7"/>
  <c r="F119" i="7"/>
  <c r="F107" i="7"/>
  <c r="F53" i="7"/>
  <c r="F38" i="7"/>
  <c r="B48" i="7"/>
  <c r="F55" i="7"/>
  <c r="E149" i="7"/>
  <c r="M35" i="9"/>
  <c r="L59" i="8"/>
  <c r="O66" i="8"/>
  <c r="P34" i="9"/>
  <c r="F5" i="11"/>
  <c r="R5" i="11" s="1"/>
  <c r="H5" i="9"/>
  <c r="AE5" i="9"/>
  <c r="S5" i="9"/>
  <c r="BC5" i="9"/>
  <c r="AQ5" i="9"/>
  <c r="D44" i="9"/>
  <c r="D45" i="9" s="1"/>
  <c r="D42" i="9"/>
  <c r="F166" i="7"/>
  <c r="H169" i="7"/>
  <c r="F111" i="8"/>
  <c r="F119" i="8"/>
  <c r="F53" i="8"/>
  <c r="F45" i="8"/>
  <c r="F63" i="8"/>
  <c r="F21" i="8"/>
  <c r="I59" i="8"/>
  <c r="H59" i="8"/>
  <c r="E105" i="8"/>
  <c r="G83" i="8"/>
  <c r="M15" i="7"/>
  <c r="I15" i="7" s="1"/>
  <c r="C11" i="7"/>
  <c r="F69" i="7"/>
  <c r="F77" i="7"/>
  <c r="F87" i="7"/>
  <c r="F102" i="7"/>
  <c r="J102" i="7"/>
  <c r="F145" i="7"/>
  <c r="F59" i="7"/>
  <c r="E150" i="7"/>
  <c r="F82" i="8"/>
  <c r="F21" i="10"/>
  <c r="G84" i="8"/>
  <c r="F39" i="10"/>
  <c r="G90" i="8"/>
  <c r="G91" i="8"/>
  <c r="F40" i="10"/>
  <c r="F31" i="8"/>
  <c r="F33" i="8" s="1"/>
  <c r="S14" i="9"/>
  <c r="AF14" i="9"/>
  <c r="F59" i="8"/>
  <c r="K59" i="8"/>
  <c r="E7" i="11"/>
  <c r="AQ47" i="9"/>
  <c r="AR47" i="9" s="1"/>
  <c r="AS47" i="9" s="1"/>
  <c r="AT47" i="9" s="1"/>
  <c r="AU47" i="9" s="1"/>
  <c r="AV47" i="9" s="1"/>
  <c r="AW47" i="9" s="1"/>
  <c r="AX47" i="9" s="1"/>
  <c r="AY47" i="9" s="1"/>
  <c r="AZ47" i="9" s="1"/>
  <c r="AE47" i="9"/>
  <c r="AE27" i="9"/>
  <c r="BC18" i="9"/>
  <c r="BD18" i="9" s="1"/>
  <c r="BE18" i="9" s="1"/>
  <c r="BF18" i="9" s="1"/>
  <c r="BG18" i="9" s="1"/>
  <c r="BH18" i="9" s="1"/>
  <c r="BI18" i="9" s="1"/>
  <c r="BJ18" i="9" s="1"/>
  <c r="BK18" i="9" s="1"/>
  <c r="BL18" i="9" s="1"/>
  <c r="AQ17" i="9"/>
  <c r="AR17" i="9" s="1"/>
  <c r="AS17" i="9" s="1"/>
  <c r="AT17" i="9" s="1"/>
  <c r="AU17" i="9" s="1"/>
  <c r="AV17" i="9" s="1"/>
  <c r="AW17" i="9" s="1"/>
  <c r="AX17" i="9" s="1"/>
  <c r="AY17" i="9" s="1"/>
  <c r="AZ17" i="9" s="1"/>
  <c r="AE16" i="9"/>
  <c r="BC14" i="9"/>
  <c r="BD14" i="9" s="1"/>
  <c r="BE14" i="9" s="1"/>
  <c r="BF14" i="9" s="1"/>
  <c r="BG14" i="9" s="1"/>
  <c r="BH14" i="9" s="1"/>
  <c r="BI14" i="9" s="1"/>
  <c r="BJ14" i="9" s="1"/>
  <c r="BK14" i="9" s="1"/>
  <c r="BL14" i="9" s="1"/>
  <c r="BC27" i="9"/>
  <c r="BD27" i="9" s="1"/>
  <c r="BE27" i="9" s="1"/>
  <c r="BF27" i="9" s="1"/>
  <c r="BG27" i="9" s="1"/>
  <c r="BH27" i="9" s="1"/>
  <c r="BI27" i="9" s="1"/>
  <c r="BJ27" i="9" s="1"/>
  <c r="BK27" i="9" s="1"/>
  <c r="BL27" i="9" s="1"/>
  <c r="AQ27" i="9"/>
  <c r="AR27" i="9" s="1"/>
  <c r="AS27" i="9" s="1"/>
  <c r="AT27" i="9" s="1"/>
  <c r="AU27" i="9" s="1"/>
  <c r="AV27" i="9" s="1"/>
  <c r="AW27" i="9" s="1"/>
  <c r="AX27" i="9" s="1"/>
  <c r="AY27" i="9" s="1"/>
  <c r="AZ27" i="9" s="1"/>
  <c r="AE18" i="9"/>
  <c r="AE17" i="9"/>
  <c r="BC16" i="9"/>
  <c r="BD16" i="9" s="1"/>
  <c r="BE16" i="9" s="1"/>
  <c r="BF16" i="9" s="1"/>
  <c r="BG16" i="9" s="1"/>
  <c r="BH16" i="9" s="1"/>
  <c r="BI16" i="9" s="1"/>
  <c r="BJ16" i="9" s="1"/>
  <c r="BK16" i="9" s="1"/>
  <c r="BL16" i="9" s="1"/>
  <c r="AQ16" i="9"/>
  <c r="AR16" i="9" s="1"/>
  <c r="AS16" i="9" s="1"/>
  <c r="AT16" i="9" s="1"/>
  <c r="AU16" i="9" s="1"/>
  <c r="AV16" i="9" s="1"/>
  <c r="AW16" i="9" s="1"/>
  <c r="AX16" i="9" s="1"/>
  <c r="AY16" i="9" s="1"/>
  <c r="AZ16" i="9" s="1"/>
  <c r="BC15" i="9"/>
  <c r="BD15" i="9" s="1"/>
  <c r="BE15" i="9" s="1"/>
  <c r="BF15" i="9" s="1"/>
  <c r="BG15" i="9" s="1"/>
  <c r="BH15" i="9" s="1"/>
  <c r="BI15" i="9" s="1"/>
  <c r="BJ15" i="9" s="1"/>
  <c r="BK15" i="9" s="1"/>
  <c r="BL15" i="9" s="1"/>
  <c r="AQ13" i="9"/>
  <c r="AR13" i="9" s="1"/>
  <c r="AS13" i="9" s="1"/>
  <c r="AT13" i="9" s="1"/>
  <c r="AU13" i="9" s="1"/>
  <c r="AV13" i="9" s="1"/>
  <c r="AW13" i="9" s="1"/>
  <c r="AX13" i="9" s="1"/>
  <c r="AY13" i="9" s="1"/>
  <c r="AZ13" i="9" s="1"/>
  <c r="F22" i="9"/>
  <c r="F39" i="9" s="1"/>
  <c r="AQ18" i="9"/>
  <c r="AR18" i="9" s="1"/>
  <c r="AS18" i="9" s="1"/>
  <c r="AT18" i="9" s="1"/>
  <c r="AU18" i="9" s="1"/>
  <c r="AV18" i="9" s="1"/>
  <c r="AW18" i="9" s="1"/>
  <c r="AX18" i="9" s="1"/>
  <c r="AY18" i="9" s="1"/>
  <c r="AZ18" i="9" s="1"/>
  <c r="AE15" i="9"/>
  <c r="AQ14" i="9"/>
  <c r="AR14" i="9" s="1"/>
  <c r="AS14" i="9" s="1"/>
  <c r="AT14" i="9" s="1"/>
  <c r="AU14" i="9" s="1"/>
  <c r="AV14" i="9" s="1"/>
  <c r="AW14" i="9" s="1"/>
  <c r="AX14" i="9" s="1"/>
  <c r="AY14" i="9" s="1"/>
  <c r="AZ14" i="9" s="1"/>
  <c r="AE13" i="9"/>
  <c r="BC17" i="9"/>
  <c r="BD17" i="9" s="1"/>
  <c r="BE17" i="9" s="1"/>
  <c r="BF17" i="9" s="1"/>
  <c r="BG17" i="9" s="1"/>
  <c r="BH17" i="9" s="1"/>
  <c r="BI17" i="9" s="1"/>
  <c r="BJ17" i="9" s="1"/>
  <c r="BK17" i="9" s="1"/>
  <c r="BL17" i="9" s="1"/>
  <c r="F10" i="9"/>
  <c r="BC13" i="9"/>
  <c r="BD13" i="9" s="1"/>
  <c r="BE13" i="9" s="1"/>
  <c r="BF13" i="9" s="1"/>
  <c r="BG13" i="9" s="1"/>
  <c r="BH13" i="9" s="1"/>
  <c r="BI13" i="9" s="1"/>
  <c r="BJ13" i="9" s="1"/>
  <c r="BK13" i="9" s="1"/>
  <c r="BL13" i="9" s="1"/>
  <c r="AQ15" i="9"/>
  <c r="AR15" i="9" s="1"/>
  <c r="AS15" i="9" s="1"/>
  <c r="AT15" i="9" s="1"/>
  <c r="AU15" i="9" s="1"/>
  <c r="AV15" i="9" s="1"/>
  <c r="AW15" i="9" s="1"/>
  <c r="AX15" i="9" s="1"/>
  <c r="AY15" i="9" s="1"/>
  <c r="AZ15" i="9" s="1"/>
  <c r="F30" i="9"/>
  <c r="F48" i="9"/>
  <c r="AF8" i="9"/>
  <c r="S8" i="9"/>
  <c r="G8" i="9" s="1"/>
  <c r="R18" i="11"/>
  <c r="S18" i="11" s="1"/>
  <c r="T18" i="11" s="1"/>
  <c r="U18" i="11" s="1"/>
  <c r="V18" i="11" s="1"/>
  <c r="W18" i="11" s="1"/>
  <c r="X18" i="11" s="1"/>
  <c r="Y18" i="11" s="1"/>
  <c r="Z18" i="11" s="1"/>
  <c r="AA18" i="11" s="1"/>
  <c r="D30" i="9"/>
  <c r="D48" i="9"/>
  <c r="M59" i="8"/>
  <c r="D7" i="11"/>
  <c r="E48" i="9"/>
  <c r="E22" i="9"/>
  <c r="E39" i="9" s="1"/>
  <c r="E10" i="9"/>
  <c r="E30" i="9"/>
  <c r="T50" i="9"/>
  <c r="AG50" i="9"/>
  <c r="E51" i="10"/>
  <c r="R13" i="11"/>
  <c r="S13" i="11" s="1"/>
  <c r="T13" i="11" s="1"/>
  <c r="U13" i="11" s="1"/>
  <c r="V13" i="11" s="1"/>
  <c r="W13" i="11" s="1"/>
  <c r="X13" i="11" s="1"/>
  <c r="Y13" i="11" s="1"/>
  <c r="Z13" i="11" s="1"/>
  <c r="AA13" i="11" s="1"/>
  <c r="D51" i="10"/>
  <c r="D49" i="10"/>
  <c r="R11" i="11"/>
  <c r="S11" i="11" s="1"/>
  <c r="T11" i="11" s="1"/>
  <c r="U11" i="11" s="1"/>
  <c r="V11" i="11" s="1"/>
  <c r="W11" i="11" s="1"/>
  <c r="X11" i="11" s="1"/>
  <c r="Y11" i="11" s="1"/>
  <c r="Z11" i="11" s="1"/>
  <c r="AA11" i="11" s="1"/>
  <c r="R20" i="11"/>
  <c r="S20" i="11" s="1"/>
  <c r="T20" i="11" s="1"/>
  <c r="U20" i="11" s="1"/>
  <c r="V20" i="11" s="1"/>
  <c r="W20" i="11" s="1"/>
  <c r="X20" i="11" s="1"/>
  <c r="Y20" i="11" s="1"/>
  <c r="Z20" i="11" s="1"/>
  <c r="AA20" i="11" s="1"/>
  <c r="R19" i="11"/>
  <c r="S19" i="11" s="1"/>
  <c r="T19" i="11" s="1"/>
  <c r="U19" i="11" s="1"/>
  <c r="V19" i="11" s="1"/>
  <c r="W19" i="11" s="1"/>
  <c r="X19" i="11" s="1"/>
  <c r="Y19" i="11" s="1"/>
  <c r="Z19" i="11" s="1"/>
  <c r="AA19" i="11" s="1"/>
  <c r="E14" i="11"/>
  <c r="E21" i="11"/>
  <c r="G60" i="7" l="1"/>
  <c r="G146" i="7" s="1"/>
  <c r="E31" i="9"/>
  <c r="E24" i="9"/>
  <c r="E25" i="9" s="1"/>
  <c r="C87" i="8"/>
  <c r="C133" i="7"/>
  <c r="N34" i="9"/>
  <c r="M10" i="8"/>
  <c r="M66" i="8"/>
  <c r="G9" i="9"/>
  <c r="AG14" i="9"/>
  <c r="T14" i="9"/>
  <c r="G39" i="10"/>
  <c r="H90" i="8"/>
  <c r="F19" i="10"/>
  <c r="G82" i="8"/>
  <c r="F105" i="8"/>
  <c r="F106" i="8" s="1"/>
  <c r="F13" i="8" s="1"/>
  <c r="I10" i="8"/>
  <c r="J34" i="9"/>
  <c r="I66" i="8"/>
  <c r="G5" i="11"/>
  <c r="S5" i="11" s="1"/>
  <c r="BD5" i="9"/>
  <c r="AF5" i="9"/>
  <c r="AR5" i="9"/>
  <c r="G5" i="8"/>
  <c r="T5" i="9"/>
  <c r="I5" i="9"/>
  <c r="G23" i="7"/>
  <c r="E6" i="3"/>
  <c r="E24" i="3" s="1"/>
  <c r="M34" i="9"/>
  <c r="L10" i="8"/>
  <c r="L66" i="8"/>
  <c r="F24" i="9"/>
  <c r="F31" i="9"/>
  <c r="G40" i="10"/>
  <c r="H91" i="8"/>
  <c r="F110" i="7"/>
  <c r="F28" i="7"/>
  <c r="H148" i="7"/>
  <c r="H62" i="7"/>
  <c r="S13" i="9"/>
  <c r="AF13" i="9"/>
  <c r="F42" i="9"/>
  <c r="BC41" i="9"/>
  <c r="BD41" i="9" s="1"/>
  <c r="BE41" i="9" s="1"/>
  <c r="BF41" i="9" s="1"/>
  <c r="BG41" i="9" s="1"/>
  <c r="BH41" i="9" s="1"/>
  <c r="BI41" i="9" s="1"/>
  <c r="BJ41" i="9" s="1"/>
  <c r="BK41" i="9" s="1"/>
  <c r="BL41" i="9" s="1"/>
  <c r="F44" i="9"/>
  <c r="F45" i="9" s="1"/>
  <c r="AE41" i="9"/>
  <c r="AQ41" i="9"/>
  <c r="AR41" i="9" s="1"/>
  <c r="AS41" i="9" s="1"/>
  <c r="AT41" i="9" s="1"/>
  <c r="AU41" i="9" s="1"/>
  <c r="AV41" i="9" s="1"/>
  <c r="AW41" i="9" s="1"/>
  <c r="AX41" i="9" s="1"/>
  <c r="AY41" i="9" s="1"/>
  <c r="AZ41" i="9" s="1"/>
  <c r="E23" i="11"/>
  <c r="E24" i="11" s="1"/>
  <c r="C123" i="7"/>
  <c r="C78" i="8"/>
  <c r="AH50" i="9"/>
  <c r="U50" i="9"/>
  <c r="E44" i="9"/>
  <c r="E45" i="9" s="1"/>
  <c r="E42" i="9"/>
  <c r="AG8" i="9"/>
  <c r="T8" i="9"/>
  <c r="H8" i="9" s="1"/>
  <c r="S17" i="9"/>
  <c r="AF17" i="9"/>
  <c r="AF27" i="9"/>
  <c r="S27" i="9"/>
  <c r="F41" i="10"/>
  <c r="F64" i="7"/>
  <c r="F150" i="7" s="1"/>
  <c r="G20" i="10"/>
  <c r="H83" i="8"/>
  <c r="I169" i="7"/>
  <c r="G34" i="9"/>
  <c r="F10" i="8"/>
  <c r="F66" i="8"/>
  <c r="G59" i="7"/>
  <c r="G145" i="7" s="1"/>
  <c r="I34" i="9"/>
  <c r="H10" i="8"/>
  <c r="H66" i="8"/>
  <c r="G28" i="3"/>
  <c r="F29" i="3"/>
  <c r="D24" i="9"/>
  <c r="D25" i="9" s="1"/>
  <c r="D31" i="9"/>
  <c r="AF15" i="9"/>
  <c r="S15" i="9"/>
  <c r="S18" i="9"/>
  <c r="AF18" i="9"/>
  <c r="AF16" i="9"/>
  <c r="S16" i="9"/>
  <c r="AF47" i="9"/>
  <c r="S47" i="9"/>
  <c r="G47" i="9" s="1"/>
  <c r="K66" i="8"/>
  <c r="L34" i="9"/>
  <c r="K10" i="8"/>
  <c r="G21" i="10"/>
  <c r="H84" i="8"/>
  <c r="J110" i="7"/>
  <c r="J28" i="7"/>
  <c r="F63" i="7"/>
  <c r="F65" i="7" s="1"/>
  <c r="F149" i="7"/>
  <c r="H147" i="7"/>
  <c r="H61" i="7"/>
  <c r="H59" i="7" l="1"/>
  <c r="H145" i="7" s="1"/>
  <c r="H9" i="9"/>
  <c r="I8" i="9"/>
  <c r="G64" i="7"/>
  <c r="G150" i="7" s="1"/>
  <c r="H60" i="7"/>
  <c r="H146" i="7"/>
  <c r="AG15" i="9"/>
  <c r="T15" i="9"/>
  <c r="I62" i="7"/>
  <c r="I148" i="7" s="1"/>
  <c r="F25" i="9"/>
  <c r="C17" i="7"/>
  <c r="C7" i="7" s="1"/>
  <c r="C13" i="7" s="1"/>
  <c r="M5" i="7" s="1"/>
  <c r="H39" i="10"/>
  <c r="H41" i="10" s="1"/>
  <c r="I90" i="8"/>
  <c r="G48" i="9"/>
  <c r="F9" i="8"/>
  <c r="F27" i="7"/>
  <c r="D16" i="3"/>
  <c r="AG18" i="9"/>
  <c r="T18" i="9"/>
  <c r="H20" i="10"/>
  <c r="I83" i="8"/>
  <c r="T17" i="9"/>
  <c r="AG17" i="9"/>
  <c r="E78" i="8"/>
  <c r="C85" i="8"/>
  <c r="AF41" i="9"/>
  <c r="S41" i="9"/>
  <c r="T13" i="9"/>
  <c r="H13" i="9" s="1"/>
  <c r="G8" i="11" s="1"/>
  <c r="AG13" i="9"/>
  <c r="H40" i="10"/>
  <c r="I91" i="8"/>
  <c r="G119" i="7"/>
  <c r="G107" i="7"/>
  <c r="G53" i="7"/>
  <c r="G166" i="7"/>
  <c r="G181" i="7"/>
  <c r="G38" i="7"/>
  <c r="G87" i="7"/>
  <c r="G69" i="7"/>
  <c r="G77" i="7"/>
  <c r="G41" i="10"/>
  <c r="H21" i="10"/>
  <c r="I84" i="8"/>
  <c r="T16" i="9"/>
  <c r="H16" i="9" s="1"/>
  <c r="AG16" i="9"/>
  <c r="H28" i="3"/>
  <c r="G29" i="3"/>
  <c r="T27" i="9"/>
  <c r="AG27" i="9"/>
  <c r="AI50" i="9"/>
  <c r="V50" i="9"/>
  <c r="G119" i="8"/>
  <c r="G63" i="8"/>
  <c r="G53" i="8"/>
  <c r="G37" i="8"/>
  <c r="G21" i="8"/>
  <c r="G111" i="8"/>
  <c r="G29" i="8"/>
  <c r="G45" i="8"/>
  <c r="G74" i="8"/>
  <c r="AH14" i="9"/>
  <c r="U14" i="9"/>
  <c r="T47" i="9"/>
  <c r="H47" i="9" s="1"/>
  <c r="AG47" i="9"/>
  <c r="E123" i="7"/>
  <c r="C131" i="7"/>
  <c r="H5" i="11"/>
  <c r="T5" i="11" s="1"/>
  <c r="BE5" i="9"/>
  <c r="J5" i="9"/>
  <c r="H5" i="8"/>
  <c r="H23" i="7"/>
  <c r="AS5" i="9"/>
  <c r="AG5" i="9"/>
  <c r="F6" i="3"/>
  <c r="F24" i="3" s="1"/>
  <c r="U5" i="9"/>
  <c r="G19" i="10"/>
  <c r="G105" i="8"/>
  <c r="G106" i="8" s="1"/>
  <c r="G13" i="8" s="1"/>
  <c r="H82" i="8"/>
  <c r="F7" i="11"/>
  <c r="G17" i="9"/>
  <c r="G18" i="9"/>
  <c r="G16" i="9"/>
  <c r="G13" i="9"/>
  <c r="F8" i="11" s="1"/>
  <c r="G15" i="9"/>
  <c r="G14" i="9"/>
  <c r="G10" i="9"/>
  <c r="G27" i="9"/>
  <c r="D8" i="3"/>
  <c r="E133" i="7"/>
  <c r="E151" i="7" s="1"/>
  <c r="C151" i="7"/>
  <c r="G63" i="7"/>
  <c r="G149" i="7" s="1"/>
  <c r="U8" i="9"/>
  <c r="AH8" i="9"/>
  <c r="I61" i="7"/>
  <c r="I147" i="7" s="1"/>
  <c r="J169" i="7"/>
  <c r="E87" i="8"/>
  <c r="E96" i="8" s="1"/>
  <c r="C96" i="8"/>
  <c r="H63" i="7" l="1"/>
  <c r="H149" i="7" s="1"/>
  <c r="J61" i="7"/>
  <c r="J147" i="7" s="1"/>
  <c r="H64" i="7"/>
  <c r="H150" i="7" s="1"/>
  <c r="J62" i="7"/>
  <c r="J148" i="7"/>
  <c r="I59" i="7"/>
  <c r="I145" i="7" s="1"/>
  <c r="G17" i="11"/>
  <c r="G12" i="11"/>
  <c r="G13" i="10" s="1"/>
  <c r="I60" i="7"/>
  <c r="I146" i="7"/>
  <c r="F17" i="11"/>
  <c r="F12" i="11"/>
  <c r="F13" i="10" s="1"/>
  <c r="I21" i="10"/>
  <c r="J84" i="8"/>
  <c r="I40" i="10"/>
  <c r="J91" i="8"/>
  <c r="AH17" i="9"/>
  <c r="U17" i="9"/>
  <c r="H119" i="8"/>
  <c r="H63" i="8"/>
  <c r="H29" i="8"/>
  <c r="H21" i="8"/>
  <c r="H74" i="8"/>
  <c r="H37" i="8"/>
  <c r="H111" i="8"/>
  <c r="H53" i="8"/>
  <c r="H45" i="8"/>
  <c r="K169" i="7"/>
  <c r="AI8" i="9"/>
  <c r="V8" i="9"/>
  <c r="J8" i="9" s="1"/>
  <c r="AH47" i="9"/>
  <c r="U47" i="9"/>
  <c r="E102" i="8"/>
  <c r="E85" i="8"/>
  <c r="E100" i="8" s="1"/>
  <c r="I20" i="10"/>
  <c r="J83" i="8"/>
  <c r="I39" i="10"/>
  <c r="J90" i="8"/>
  <c r="I9" i="9"/>
  <c r="F20" i="11"/>
  <c r="F30" i="10" s="1"/>
  <c r="F11" i="11"/>
  <c r="F18" i="11"/>
  <c r="F28" i="10" s="1"/>
  <c r="F13" i="11"/>
  <c r="F14" i="10" s="1"/>
  <c r="F19" i="11"/>
  <c r="F29" i="10" s="1"/>
  <c r="H166" i="7"/>
  <c r="H87" i="7"/>
  <c r="H77" i="7"/>
  <c r="H69" i="7"/>
  <c r="H38" i="7"/>
  <c r="H119" i="7"/>
  <c r="H53" i="7"/>
  <c r="H107" i="7"/>
  <c r="H181" i="7"/>
  <c r="H48" i="9"/>
  <c r="G9" i="8"/>
  <c r="G27" i="7"/>
  <c r="E16" i="3"/>
  <c r="G7" i="11"/>
  <c r="H27" i="9"/>
  <c r="H10" i="9"/>
  <c r="E8" i="3"/>
  <c r="H19" i="10"/>
  <c r="I82" i="8"/>
  <c r="H105" i="8"/>
  <c r="H106" i="8" s="1"/>
  <c r="H13" i="8" s="1"/>
  <c r="C155" i="7"/>
  <c r="I14" i="9"/>
  <c r="W50" i="9"/>
  <c r="AJ50" i="9"/>
  <c r="H29" i="3"/>
  <c r="I28" i="3"/>
  <c r="AG41" i="9"/>
  <c r="T41" i="9"/>
  <c r="H17" i="9"/>
  <c r="H18" i="9"/>
  <c r="H19" i="9" s="1"/>
  <c r="H20" i="9" s="1"/>
  <c r="M17" i="7"/>
  <c r="I16" i="7" s="1"/>
  <c r="D127" i="7"/>
  <c r="E127" i="7" s="1"/>
  <c r="H15" i="9"/>
  <c r="H14" i="9"/>
  <c r="F17" i="8"/>
  <c r="F81" i="8" s="1"/>
  <c r="F34" i="7"/>
  <c r="F126" i="7" s="1"/>
  <c r="D10" i="3"/>
  <c r="D15" i="3" s="1"/>
  <c r="G19" i="9"/>
  <c r="I5" i="11"/>
  <c r="U5" i="11" s="1"/>
  <c r="AT5" i="9"/>
  <c r="V5" i="9"/>
  <c r="I5" i="8"/>
  <c r="K5" i="9"/>
  <c r="I23" i="7"/>
  <c r="AH5" i="9"/>
  <c r="BF5" i="9"/>
  <c r="G6" i="3"/>
  <c r="G24" i="3" s="1"/>
  <c r="E157" i="7"/>
  <c r="E131" i="7"/>
  <c r="V14" i="9"/>
  <c r="AI14" i="9"/>
  <c r="AH27" i="9"/>
  <c r="U27" i="9"/>
  <c r="AH16" i="9"/>
  <c r="U16" i="9"/>
  <c r="AH13" i="9"/>
  <c r="U13" i="9"/>
  <c r="I13" i="9" s="1"/>
  <c r="H8" i="11" s="1"/>
  <c r="C100" i="8"/>
  <c r="U18" i="9"/>
  <c r="AH18" i="9"/>
  <c r="U15" i="9"/>
  <c r="I15" i="9" s="1"/>
  <c r="AH15" i="9"/>
  <c r="J59" i="7" l="1"/>
  <c r="J145" i="7" s="1"/>
  <c r="K61" i="7"/>
  <c r="K147" i="7" s="1"/>
  <c r="I64" i="7"/>
  <c r="I150" i="7" s="1"/>
  <c r="K8" i="9"/>
  <c r="J9" i="9"/>
  <c r="I63" i="7"/>
  <c r="I149" i="7" s="1"/>
  <c r="AI16" i="9"/>
  <c r="V16" i="9"/>
  <c r="J16" i="9" s="1"/>
  <c r="I111" i="8"/>
  <c r="I74" i="8"/>
  <c r="I45" i="8"/>
  <c r="I29" i="8"/>
  <c r="I119" i="8"/>
  <c r="I37" i="8"/>
  <c r="I63" i="8"/>
  <c r="I21" i="8"/>
  <c r="I53" i="8"/>
  <c r="H7" i="11"/>
  <c r="I27" i="9"/>
  <c r="I10" i="9"/>
  <c r="F8" i="3"/>
  <c r="L169" i="7"/>
  <c r="AI13" i="9"/>
  <c r="V13" i="9"/>
  <c r="H30" i="9"/>
  <c r="F21" i="11"/>
  <c r="F27" i="10"/>
  <c r="F31" i="10" s="1"/>
  <c r="G27" i="10"/>
  <c r="G20" i="9"/>
  <c r="G22" i="9"/>
  <c r="G39" i="9" s="1"/>
  <c r="G30" i="9"/>
  <c r="I29" i="3"/>
  <c r="J28" i="3"/>
  <c r="H22" i="9"/>
  <c r="H39" i="9" s="1"/>
  <c r="J40" i="10"/>
  <c r="K91" i="8"/>
  <c r="V18" i="9"/>
  <c r="AI18" i="9"/>
  <c r="I18" i="9"/>
  <c r="AI27" i="9"/>
  <c r="V27" i="9"/>
  <c r="I181" i="7"/>
  <c r="I87" i="7"/>
  <c r="I77" i="7"/>
  <c r="I69" i="7"/>
  <c r="I38" i="7"/>
  <c r="I166" i="7"/>
  <c r="I107" i="7"/>
  <c r="I119" i="7"/>
  <c r="I53" i="7"/>
  <c r="G126" i="7"/>
  <c r="F127" i="7"/>
  <c r="E160" i="7"/>
  <c r="H41" i="9"/>
  <c r="X50" i="9"/>
  <c r="AK50" i="9"/>
  <c r="G18" i="11"/>
  <c r="G28" i="10" s="1"/>
  <c r="G13" i="11"/>
  <c r="G14" i="10" s="1"/>
  <c r="G19" i="11"/>
  <c r="G29" i="10" s="1"/>
  <c r="G20" i="11"/>
  <c r="G30" i="10" s="1"/>
  <c r="G11" i="11"/>
  <c r="I41" i="10"/>
  <c r="AJ8" i="9"/>
  <c r="W8" i="9"/>
  <c r="I17" i="9"/>
  <c r="K84" i="8"/>
  <c r="J21" i="10"/>
  <c r="J60" i="7"/>
  <c r="J146" i="7" s="1"/>
  <c r="H17" i="11"/>
  <c r="H12" i="11"/>
  <c r="H13" i="10" s="1"/>
  <c r="V47" i="9"/>
  <c r="AI47" i="9"/>
  <c r="K62" i="7"/>
  <c r="K148" i="7"/>
  <c r="F14" i="11"/>
  <c r="F12" i="10"/>
  <c r="F15" i="10" s="1"/>
  <c r="J39" i="10"/>
  <c r="J41" i="10" s="1"/>
  <c r="K90" i="8"/>
  <c r="V15" i="9"/>
  <c r="AI15" i="9"/>
  <c r="I16" i="9"/>
  <c r="AJ14" i="9"/>
  <c r="W14" i="9"/>
  <c r="J5" i="11"/>
  <c r="V5" i="11" s="1"/>
  <c r="L5" i="9"/>
  <c r="AI5" i="9"/>
  <c r="W5" i="9"/>
  <c r="J5" i="8"/>
  <c r="J23" i="7"/>
  <c r="BG5" i="9"/>
  <c r="AU5" i="9"/>
  <c r="H6" i="3"/>
  <c r="H24" i="3" s="1"/>
  <c r="F18" i="10"/>
  <c r="F22" i="10" s="1"/>
  <c r="D153" i="7"/>
  <c r="E153" i="7" s="1"/>
  <c r="I17" i="7"/>
  <c r="I19" i="7" s="1"/>
  <c r="U41" i="9"/>
  <c r="AH41" i="9"/>
  <c r="I19" i="10"/>
  <c r="I105" i="8"/>
  <c r="I106" i="8" s="1"/>
  <c r="I13" i="8" s="1"/>
  <c r="J82" i="8"/>
  <c r="G17" i="8"/>
  <c r="G81" i="8" s="1"/>
  <c r="G34" i="7"/>
  <c r="E10" i="3"/>
  <c r="E15" i="3" s="1"/>
  <c r="J20" i="10"/>
  <c r="K83" i="8"/>
  <c r="I47" i="9"/>
  <c r="AI17" i="9"/>
  <c r="V17" i="9"/>
  <c r="J17" i="9" s="1"/>
  <c r="K60" i="7" l="1"/>
  <c r="K146" i="7" s="1"/>
  <c r="J64" i="7"/>
  <c r="J150" i="7" s="1"/>
  <c r="J63" i="7"/>
  <c r="J149" i="7"/>
  <c r="L61" i="7"/>
  <c r="L147" i="7" s="1"/>
  <c r="G18" i="10"/>
  <c r="G22" i="10" s="1"/>
  <c r="K59" i="7"/>
  <c r="K145" i="7" s="1"/>
  <c r="L62" i="7"/>
  <c r="L148" i="7" s="1"/>
  <c r="G21" i="11"/>
  <c r="M169" i="7"/>
  <c r="I7" i="11"/>
  <c r="J27" i="9"/>
  <c r="J10" i="9"/>
  <c r="G8" i="3"/>
  <c r="I19" i="9"/>
  <c r="J74" i="8"/>
  <c r="J53" i="8"/>
  <c r="J45" i="8"/>
  <c r="J63" i="8"/>
  <c r="J21" i="8"/>
  <c r="J119" i="8"/>
  <c r="J37" i="8"/>
  <c r="J29" i="8"/>
  <c r="J111" i="8"/>
  <c r="H27" i="10"/>
  <c r="H42" i="9"/>
  <c r="G69" i="8"/>
  <c r="G11" i="8" s="1"/>
  <c r="AJ18" i="9"/>
  <c r="W18" i="9"/>
  <c r="K18" i="9" s="1"/>
  <c r="G44" i="9"/>
  <c r="G41" i="9"/>
  <c r="J13" i="9"/>
  <c r="I8" i="11" s="1"/>
  <c r="W16" i="9"/>
  <c r="K16" i="9" s="1"/>
  <c r="AJ16" i="9"/>
  <c r="K9" i="9"/>
  <c r="I48" i="9"/>
  <c r="H9" i="8"/>
  <c r="H27" i="7"/>
  <c r="F16" i="3"/>
  <c r="J15" i="9"/>
  <c r="AJ47" i="9"/>
  <c r="W47" i="9"/>
  <c r="K47" i="9" s="1"/>
  <c r="J18" i="9"/>
  <c r="K28" i="3"/>
  <c r="J29" i="3"/>
  <c r="AJ13" i="9"/>
  <c r="W13" i="9"/>
  <c r="K13" i="9" s="1"/>
  <c r="J8" i="11" s="1"/>
  <c r="H20" i="11"/>
  <c r="H30" i="10" s="1"/>
  <c r="H19" i="11"/>
  <c r="H29" i="10" s="1"/>
  <c r="H18" i="11"/>
  <c r="H28" i="10" s="1"/>
  <c r="H13" i="11"/>
  <c r="H14" i="10" s="1"/>
  <c r="H11" i="11"/>
  <c r="J19" i="10"/>
  <c r="K82" i="8"/>
  <c r="J105" i="8"/>
  <c r="J106" i="8" s="1"/>
  <c r="J13" i="8" s="1"/>
  <c r="J181" i="7"/>
  <c r="J119" i="7"/>
  <c r="J107" i="7"/>
  <c r="J53" i="7"/>
  <c r="J38" i="7"/>
  <c r="J87" i="7"/>
  <c r="J77" i="7"/>
  <c r="J69" i="7"/>
  <c r="J166" i="7"/>
  <c r="K5" i="11"/>
  <c r="W5" i="11" s="1"/>
  <c r="BH5" i="9"/>
  <c r="AJ5" i="9"/>
  <c r="X5" i="9"/>
  <c r="AV5" i="9"/>
  <c r="M5" i="9"/>
  <c r="I6" i="3"/>
  <c r="I24" i="3" s="1"/>
  <c r="K5" i="8"/>
  <c r="K23" i="7"/>
  <c r="AK8" i="9"/>
  <c r="X8" i="9"/>
  <c r="L8" i="9" s="1"/>
  <c r="G31" i="9"/>
  <c r="G24" i="9"/>
  <c r="F109" i="7"/>
  <c r="F113" i="7" s="1"/>
  <c r="F65" i="8"/>
  <c r="F68" i="8" s="1"/>
  <c r="H24" i="9"/>
  <c r="H31" i="9"/>
  <c r="G109" i="7"/>
  <c r="G113" i="7" s="1"/>
  <c r="G65" i="8"/>
  <c r="G68" i="8" s="1"/>
  <c r="G70" i="8" s="1"/>
  <c r="AJ17" i="9"/>
  <c r="W17" i="9"/>
  <c r="K17" i="9" s="1"/>
  <c r="AJ15" i="9"/>
  <c r="W15" i="9"/>
  <c r="K15" i="9" s="1"/>
  <c r="K21" i="10"/>
  <c r="L84" i="8"/>
  <c r="H44" i="9"/>
  <c r="G31" i="10"/>
  <c r="H34" i="7"/>
  <c r="H126" i="7" s="1"/>
  <c r="H17" i="8"/>
  <c r="H81" i="8" s="1"/>
  <c r="F10" i="3"/>
  <c r="F15" i="3" s="1"/>
  <c r="E172" i="7"/>
  <c r="K14" i="9"/>
  <c r="F23" i="11"/>
  <c r="F24" i="11" s="1"/>
  <c r="D17" i="3" s="1"/>
  <c r="F123" i="7"/>
  <c r="F157" i="7" s="1"/>
  <c r="F158" i="7" s="1"/>
  <c r="F30" i="7" s="1"/>
  <c r="F78" i="8"/>
  <c r="G14" i="11"/>
  <c r="G12" i="10"/>
  <c r="G15" i="10" s="1"/>
  <c r="K20" i="10"/>
  <c r="L83" i="8"/>
  <c r="AI41" i="9"/>
  <c r="V41" i="9"/>
  <c r="AK14" i="9"/>
  <c r="X14" i="9"/>
  <c r="K39" i="10"/>
  <c r="L90" i="8"/>
  <c r="E155" i="7"/>
  <c r="J47" i="9"/>
  <c r="AL50" i="9"/>
  <c r="Y50" i="9"/>
  <c r="G127" i="7"/>
  <c r="F160" i="7"/>
  <c r="F161" i="7" s="1"/>
  <c r="F31" i="7" s="1"/>
  <c r="W27" i="9"/>
  <c r="AJ27" i="9"/>
  <c r="K40" i="10"/>
  <c r="L91" i="8"/>
  <c r="J14" i="9"/>
  <c r="F133" i="7"/>
  <c r="F87" i="8"/>
  <c r="M62" i="7" l="1"/>
  <c r="M148" i="7" s="1"/>
  <c r="L145" i="7"/>
  <c r="L59" i="7"/>
  <c r="L9" i="9"/>
  <c r="K150" i="7"/>
  <c r="K64" i="7"/>
  <c r="H18" i="10"/>
  <c r="H22" i="10" s="1"/>
  <c r="M147" i="7"/>
  <c r="M61" i="7"/>
  <c r="L60" i="7"/>
  <c r="L146" i="7"/>
  <c r="L28" i="3"/>
  <c r="K29" i="3"/>
  <c r="AK27" i="9"/>
  <c r="X27" i="9"/>
  <c r="H45" i="9"/>
  <c r="H50" i="9"/>
  <c r="G14" i="8" s="1"/>
  <c r="X15" i="9"/>
  <c r="L15" i="9" s="1"/>
  <c r="AK15" i="9"/>
  <c r="G114" i="7"/>
  <c r="G29" i="7" s="1"/>
  <c r="F114" i="7"/>
  <c r="F29" i="7" s="1"/>
  <c r="AL8" i="9"/>
  <c r="Y8" i="9"/>
  <c r="M8" i="9" s="1"/>
  <c r="L5" i="11"/>
  <c r="X5" i="11" s="1"/>
  <c r="AW5" i="9"/>
  <c r="AK5" i="9"/>
  <c r="BI5" i="9"/>
  <c r="N5" i="9"/>
  <c r="Y5" i="9"/>
  <c r="L5" i="8"/>
  <c r="L23" i="7"/>
  <c r="J6" i="3"/>
  <c r="J24" i="3" s="1"/>
  <c r="K105" i="8"/>
  <c r="K106" i="8" s="1"/>
  <c r="K13" i="8" s="1"/>
  <c r="L82" i="8"/>
  <c r="K19" i="10"/>
  <c r="X13" i="9"/>
  <c r="L13" i="9" s="1"/>
  <c r="K8" i="11" s="1"/>
  <c r="AK13" i="9"/>
  <c r="J19" i="9"/>
  <c r="I17" i="11"/>
  <c r="I12" i="11"/>
  <c r="I13" i="10" s="1"/>
  <c r="AK18" i="9"/>
  <c r="X18" i="9"/>
  <c r="L18" i="9" s="1"/>
  <c r="H31" i="10"/>
  <c r="I17" i="8"/>
  <c r="I81" i="8" s="1"/>
  <c r="I34" i="7"/>
  <c r="I126" i="7" s="1"/>
  <c r="G10" i="3"/>
  <c r="G15" i="3" s="1"/>
  <c r="J17" i="11"/>
  <c r="J12" i="11"/>
  <c r="J13" i="10" s="1"/>
  <c r="K19" i="9"/>
  <c r="K20" i="9" s="1"/>
  <c r="L39" i="10"/>
  <c r="M90" i="8"/>
  <c r="AM50" i="9"/>
  <c r="Z50" i="9"/>
  <c r="K41" i="10"/>
  <c r="W41" i="9"/>
  <c r="AJ41" i="9"/>
  <c r="G23" i="11"/>
  <c r="G24" i="11" s="1"/>
  <c r="E17" i="3" s="1"/>
  <c r="G78" i="8"/>
  <c r="G123" i="7"/>
  <c r="L21" i="10"/>
  <c r="M84" i="8"/>
  <c r="G25" i="9"/>
  <c r="F7" i="8"/>
  <c r="F25" i="7"/>
  <c r="D9" i="3"/>
  <c r="D11" i="3" s="1"/>
  <c r="K181" i="7"/>
  <c r="K119" i="7"/>
  <c r="K107" i="7"/>
  <c r="K53" i="7"/>
  <c r="K166" i="7"/>
  <c r="K87" i="7"/>
  <c r="K77" i="7"/>
  <c r="K69" i="7"/>
  <c r="K38" i="7"/>
  <c r="K48" i="9"/>
  <c r="J27" i="7"/>
  <c r="H16" i="3"/>
  <c r="J9" i="8"/>
  <c r="J7" i="11"/>
  <c r="K30" i="9"/>
  <c r="K27" i="9"/>
  <c r="K10" i="9"/>
  <c r="H8" i="3"/>
  <c r="G42" i="9"/>
  <c r="F69" i="8"/>
  <c r="F11" i="8" s="1"/>
  <c r="H21" i="11"/>
  <c r="G133" i="7"/>
  <c r="G87" i="8"/>
  <c r="K63" i="7"/>
  <c r="K149" i="7" s="1"/>
  <c r="G160" i="7"/>
  <c r="G161" i="7" s="1"/>
  <c r="G31" i="7" s="1"/>
  <c r="H127" i="7"/>
  <c r="Y14" i="9"/>
  <c r="AL14" i="9"/>
  <c r="F70" i="8"/>
  <c r="I20" i="9"/>
  <c r="I22" i="9"/>
  <c r="I39" i="9" s="1"/>
  <c r="I30" i="9"/>
  <c r="L40" i="10"/>
  <c r="M91" i="8"/>
  <c r="J48" i="9"/>
  <c r="I27" i="7"/>
  <c r="I9" i="8"/>
  <c r="G16" i="3"/>
  <c r="L14" i="9"/>
  <c r="L20" i="10"/>
  <c r="M83" i="8"/>
  <c r="F102" i="8"/>
  <c r="F103" i="8" s="1"/>
  <c r="F12" i="8" s="1"/>
  <c r="AK17" i="9"/>
  <c r="X17" i="9"/>
  <c r="L17" i="9" s="1"/>
  <c r="G7" i="8"/>
  <c r="H25" i="9"/>
  <c r="G25" i="7"/>
  <c r="E9" i="3"/>
  <c r="E11" i="3" s="1"/>
  <c r="K119" i="8"/>
  <c r="K63" i="8"/>
  <c r="K53" i="8"/>
  <c r="K37" i="8"/>
  <c r="K21" i="8"/>
  <c r="K111" i="8"/>
  <c r="K45" i="8"/>
  <c r="K74" i="8"/>
  <c r="K29" i="8"/>
  <c r="H14" i="11"/>
  <c r="H12" i="10"/>
  <c r="H15" i="10" s="1"/>
  <c r="AK47" i="9"/>
  <c r="X47" i="9"/>
  <c r="L47" i="9" s="1"/>
  <c r="AK16" i="9"/>
  <c r="X16" i="9"/>
  <c r="L16" i="9" s="1"/>
  <c r="G50" i="9"/>
  <c r="F14" i="8" s="1"/>
  <c r="G45" i="9"/>
  <c r="I20" i="11"/>
  <c r="I30" i="10" s="1"/>
  <c r="I19" i="11"/>
  <c r="I29" i="10" s="1"/>
  <c r="I18" i="11"/>
  <c r="I28" i="10" s="1"/>
  <c r="I13" i="11"/>
  <c r="I14" i="10" s="1"/>
  <c r="I11" i="11"/>
  <c r="M9" i="9" l="1"/>
  <c r="I18" i="10"/>
  <c r="I22" i="10" s="1"/>
  <c r="J81" i="8"/>
  <c r="L63" i="7"/>
  <c r="L149" i="7" s="1"/>
  <c r="AM14" i="9"/>
  <c r="Z14" i="9"/>
  <c r="AN50" i="9"/>
  <c r="AB50" i="9" s="1"/>
  <c r="AA50" i="9"/>
  <c r="G185" i="7"/>
  <c r="G170" i="7"/>
  <c r="AL17" i="9"/>
  <c r="Y17" i="9"/>
  <c r="M17" i="9" s="1"/>
  <c r="I44" i="9"/>
  <c r="I41" i="9"/>
  <c r="M14" i="9"/>
  <c r="H87" i="8"/>
  <c r="H133" i="7"/>
  <c r="J18" i="11"/>
  <c r="J28" i="10" s="1"/>
  <c r="J13" i="11"/>
  <c r="J14" i="10" s="1"/>
  <c r="J19" i="11"/>
  <c r="J29" i="10" s="1"/>
  <c r="J20" i="11"/>
  <c r="J30" i="10" s="1"/>
  <c r="J11" i="11"/>
  <c r="F123" i="8"/>
  <c r="F15" i="8"/>
  <c r="F39" i="8" s="1"/>
  <c r="G157" i="7"/>
  <c r="G158" i="7" s="1"/>
  <c r="G30" i="7" s="1"/>
  <c r="G32" i="7" s="1"/>
  <c r="K41" i="9"/>
  <c r="M39" i="10"/>
  <c r="N90" i="8"/>
  <c r="L19" i="9"/>
  <c r="L20" i="9" s="1"/>
  <c r="J20" i="9"/>
  <c r="J22" i="9"/>
  <c r="J39" i="9" s="1"/>
  <c r="J30" i="9"/>
  <c r="L19" i="10"/>
  <c r="L105" i="8"/>
  <c r="L106" i="8" s="1"/>
  <c r="L13" i="8" s="1"/>
  <c r="M82" i="8"/>
  <c r="L111" i="8"/>
  <c r="L53" i="8"/>
  <c r="L63" i="8"/>
  <c r="L29" i="8"/>
  <c r="L21" i="8"/>
  <c r="L74" i="8"/>
  <c r="L119" i="8"/>
  <c r="L37" i="8"/>
  <c r="L45" i="8"/>
  <c r="Z8" i="9"/>
  <c r="N8" i="9" s="1"/>
  <c r="AM8" i="9"/>
  <c r="G115" i="7"/>
  <c r="M60" i="7"/>
  <c r="M146" i="7" s="1"/>
  <c r="E12" i="3"/>
  <c r="E13" i="3" s="1"/>
  <c r="E18" i="3" s="1"/>
  <c r="E30" i="3" s="1"/>
  <c r="E31" i="3" s="1"/>
  <c r="I24" i="9"/>
  <c r="H65" i="8"/>
  <c r="H68" i="8" s="1"/>
  <c r="I31" i="9"/>
  <c r="H109" i="7"/>
  <c r="H113" i="7" s="1"/>
  <c r="F32" i="7"/>
  <c r="F71" i="7" s="1"/>
  <c r="F185" i="7"/>
  <c r="F170" i="7"/>
  <c r="AK41" i="9"/>
  <c r="X41" i="9"/>
  <c r="I21" i="11"/>
  <c r="I27" i="10"/>
  <c r="I31" i="10" s="1"/>
  <c r="L166" i="7"/>
  <c r="L87" i="7"/>
  <c r="L77" i="7"/>
  <c r="L69" i="7"/>
  <c r="L38" i="7"/>
  <c r="L107" i="7"/>
  <c r="L181" i="7"/>
  <c r="L119" i="7"/>
  <c r="L53" i="7"/>
  <c r="M145" i="7"/>
  <c r="M59" i="7"/>
  <c r="I14" i="11"/>
  <c r="I12" i="10"/>
  <c r="I15" i="10" s="1"/>
  <c r="Y16" i="9"/>
  <c r="M16" i="9" s="1"/>
  <c r="AL16" i="9"/>
  <c r="H23" i="11"/>
  <c r="H24" i="11" s="1"/>
  <c r="F17" i="3" s="1"/>
  <c r="H78" i="8"/>
  <c r="H102" i="8" s="1"/>
  <c r="H123" i="7"/>
  <c r="H157" i="7" s="1"/>
  <c r="H158" i="7" s="1"/>
  <c r="H30" i="7" s="1"/>
  <c r="M40" i="10"/>
  <c r="N91" i="8"/>
  <c r="H160" i="7"/>
  <c r="H161" i="7" s="1"/>
  <c r="H31" i="7" s="1"/>
  <c r="I127" i="7"/>
  <c r="K22" i="9"/>
  <c r="K39" i="9" s="1"/>
  <c r="G102" i="8"/>
  <c r="G103" i="8" s="1"/>
  <c r="G12" i="8" s="1"/>
  <c r="G15" i="8" s="1"/>
  <c r="L41" i="10"/>
  <c r="J21" i="11"/>
  <c r="J27" i="10"/>
  <c r="J31" i="10" s="1"/>
  <c r="Y18" i="9"/>
  <c r="M18" i="9" s="1"/>
  <c r="AL18" i="9"/>
  <c r="AL13" i="9"/>
  <c r="Y13" i="9"/>
  <c r="M13" i="9" s="1"/>
  <c r="L8" i="11" s="1"/>
  <c r="AL15" i="9"/>
  <c r="Y15" i="9"/>
  <c r="M15" i="9" s="1"/>
  <c r="K7" i="11"/>
  <c r="L30" i="9"/>
  <c r="L27" i="9"/>
  <c r="L22" i="9"/>
  <c r="L39" i="9" s="1"/>
  <c r="L10" i="9"/>
  <c r="I8" i="3"/>
  <c r="Y47" i="9"/>
  <c r="M47" i="9" s="1"/>
  <c r="AL47" i="9"/>
  <c r="K31" i="9"/>
  <c r="K24" i="9"/>
  <c r="J109" i="7"/>
  <c r="J113" i="7" s="1"/>
  <c r="J65" i="8"/>
  <c r="J68" i="8" s="1"/>
  <c r="Y27" i="9"/>
  <c r="AL27" i="9"/>
  <c r="L64" i="7"/>
  <c r="L150" i="7" s="1"/>
  <c r="K9" i="8"/>
  <c r="I16" i="3"/>
  <c r="L48" i="9"/>
  <c r="K27" i="7"/>
  <c r="G123" i="8"/>
  <c r="M20" i="10"/>
  <c r="N83" i="8"/>
  <c r="F113" i="8"/>
  <c r="F98" i="8"/>
  <c r="J34" i="7"/>
  <c r="J126" i="7" s="1"/>
  <c r="J17" i="8"/>
  <c r="H10" i="3"/>
  <c r="H15" i="3" s="1"/>
  <c r="D12" i="3"/>
  <c r="D13" i="3" s="1"/>
  <c r="D18" i="3" s="1"/>
  <c r="D30" i="3" s="1"/>
  <c r="D31" i="3" s="1"/>
  <c r="M21" i="10"/>
  <c r="N84" i="8"/>
  <c r="K17" i="11"/>
  <c r="K12" i="11"/>
  <c r="K13" i="10" s="1"/>
  <c r="M5" i="11"/>
  <c r="Y5" i="11" s="1"/>
  <c r="AX5" i="9"/>
  <c r="Z5" i="9"/>
  <c r="M5" i="8"/>
  <c r="BJ5" i="9"/>
  <c r="O5" i="9"/>
  <c r="M23" i="7"/>
  <c r="AL5" i="9"/>
  <c r="K6" i="3"/>
  <c r="K24" i="3" s="1"/>
  <c r="F115" i="7"/>
  <c r="L29" i="3"/>
  <c r="M28" i="3"/>
  <c r="M29" i="3" s="1"/>
  <c r="M64" i="7" l="1"/>
  <c r="M150" i="7" s="1"/>
  <c r="M149" i="7"/>
  <c r="M63" i="7"/>
  <c r="N9" i="9"/>
  <c r="AM27" i="9"/>
  <c r="Z27" i="9"/>
  <c r="Z18" i="9"/>
  <c r="N18" i="9" s="1"/>
  <c r="AM18" i="9"/>
  <c r="J127" i="7"/>
  <c r="I160" i="7"/>
  <c r="I161" i="7" s="1"/>
  <c r="I31" i="7" s="1"/>
  <c r="F73" i="7"/>
  <c r="K42" i="9"/>
  <c r="J69" i="8"/>
  <c r="J11" i="8" s="1"/>
  <c r="Z17" i="9"/>
  <c r="N17" i="9" s="1"/>
  <c r="AM17" i="9"/>
  <c r="AA14" i="9"/>
  <c r="AN14" i="9"/>
  <c r="AB14" i="9" s="1"/>
  <c r="J18" i="10"/>
  <c r="J22" i="10" s="1"/>
  <c r="M181" i="7"/>
  <c r="M87" i="7"/>
  <c r="M77" i="7"/>
  <c r="M69" i="7"/>
  <c r="M38" i="7"/>
  <c r="M119" i="7"/>
  <c r="M53" i="7"/>
  <c r="M166" i="7"/>
  <c r="M107" i="7"/>
  <c r="K27" i="10"/>
  <c r="N20" i="10"/>
  <c r="O83" i="8"/>
  <c r="O20" i="10" s="1"/>
  <c r="K25" i="9"/>
  <c r="J7" i="8"/>
  <c r="J25" i="7"/>
  <c r="H9" i="3"/>
  <c r="H11" i="3" s="1"/>
  <c r="M48" i="9"/>
  <c r="L9" i="8"/>
  <c r="L27" i="7"/>
  <c r="J16" i="3"/>
  <c r="K17" i="8"/>
  <c r="K81" i="8" s="1"/>
  <c r="I10" i="3"/>
  <c r="I15" i="3" s="1"/>
  <c r="K34" i="7"/>
  <c r="K126" i="7" s="1"/>
  <c r="Z15" i="9"/>
  <c r="N15" i="9" s="1"/>
  <c r="AM15" i="9"/>
  <c r="M19" i="9"/>
  <c r="M20" i="9" s="1"/>
  <c r="H103" i="8"/>
  <c r="H12" i="8" s="1"/>
  <c r="AL41" i="9"/>
  <c r="Y41" i="9"/>
  <c r="I25" i="9"/>
  <c r="H7" i="8"/>
  <c r="H25" i="7"/>
  <c r="F9" i="3"/>
  <c r="F11" i="3" s="1"/>
  <c r="J14" i="11"/>
  <c r="J12" i="10"/>
  <c r="J15" i="10" s="1"/>
  <c r="H69" i="8"/>
  <c r="H11" i="8" s="1"/>
  <c r="I42" i="9"/>
  <c r="L24" i="9"/>
  <c r="L31" i="9"/>
  <c r="K109" i="7"/>
  <c r="K113" i="7" s="1"/>
  <c r="K65" i="8"/>
  <c r="K68" i="8" s="1"/>
  <c r="N40" i="10"/>
  <c r="O91" i="8"/>
  <c r="O40" i="10" s="1"/>
  <c r="I23" i="11"/>
  <c r="I24" i="11" s="1"/>
  <c r="G17" i="3" s="1"/>
  <c r="I78" i="8"/>
  <c r="I123" i="7"/>
  <c r="H114" i="7"/>
  <c r="H29" i="7" s="1"/>
  <c r="I65" i="8"/>
  <c r="I68" i="8" s="1"/>
  <c r="J31" i="9"/>
  <c r="J24" i="9"/>
  <c r="I109" i="7"/>
  <c r="I113" i="7" s="1"/>
  <c r="N39" i="10"/>
  <c r="N41" i="10" s="1"/>
  <c r="O90" i="8"/>
  <c r="O39" i="10" s="1"/>
  <c r="I50" i="9"/>
  <c r="H14" i="8" s="1"/>
  <c r="I45" i="9"/>
  <c r="M111" i="8"/>
  <c r="M74" i="8"/>
  <c r="M45" i="8"/>
  <c r="M29" i="8"/>
  <c r="M119" i="8"/>
  <c r="M63" i="8"/>
  <c r="M21" i="8"/>
  <c r="M37" i="8"/>
  <c r="M53" i="8"/>
  <c r="J114" i="7"/>
  <c r="J29" i="7" s="1"/>
  <c r="Z47" i="9"/>
  <c r="N47" i="9" s="1"/>
  <c r="AM47" i="9"/>
  <c r="L41" i="9"/>
  <c r="H70" i="8"/>
  <c r="AN8" i="9"/>
  <c r="AB8" i="9" s="1"/>
  <c r="AA8" i="9"/>
  <c r="O8" i="9" s="1"/>
  <c r="F153" i="7"/>
  <c r="N5" i="11"/>
  <c r="Z5" i="11" s="1"/>
  <c r="P5" i="9"/>
  <c r="AM5" i="9"/>
  <c r="AA5" i="9"/>
  <c r="N5" i="8"/>
  <c r="BK5" i="9"/>
  <c r="AY5" i="9"/>
  <c r="L6" i="3"/>
  <c r="L24" i="3" s="1"/>
  <c r="N21" i="10"/>
  <c r="O84" i="8"/>
  <c r="O21" i="10" s="1"/>
  <c r="F47" i="10"/>
  <c r="G98" i="8"/>
  <c r="G113" i="8" s="1"/>
  <c r="L17" i="11"/>
  <c r="L12" i="11"/>
  <c r="L13" i="10" s="1"/>
  <c r="J70" i="8"/>
  <c r="K19" i="11"/>
  <c r="K29" i="10" s="1"/>
  <c r="K20" i="11"/>
  <c r="K30" i="10" s="1"/>
  <c r="K11" i="11"/>
  <c r="K18" i="11"/>
  <c r="K28" i="10" s="1"/>
  <c r="K13" i="11"/>
  <c r="K14" i="10" s="1"/>
  <c r="Z13" i="9"/>
  <c r="N13" i="9" s="1"/>
  <c r="M8" i="11" s="1"/>
  <c r="AM13" i="9"/>
  <c r="J87" i="8"/>
  <c r="J133" i="7"/>
  <c r="K44" i="9"/>
  <c r="AM16" i="9"/>
  <c r="Z16" i="9"/>
  <c r="N16" i="9" s="1"/>
  <c r="I87" i="8"/>
  <c r="I133" i="7"/>
  <c r="M19" i="10"/>
  <c r="M105" i="8"/>
  <c r="M106" i="8" s="1"/>
  <c r="M13" i="8" s="1"/>
  <c r="N82" i="8"/>
  <c r="J44" i="9"/>
  <c r="J41" i="9"/>
  <c r="M41" i="10"/>
  <c r="F41" i="8"/>
  <c r="N14" i="9"/>
  <c r="L7" i="11"/>
  <c r="M27" i="9"/>
  <c r="M10" i="9"/>
  <c r="M30" i="9"/>
  <c r="J8" i="3"/>
  <c r="K18" i="10" l="1"/>
  <c r="K22" i="10" s="1"/>
  <c r="O9" i="9"/>
  <c r="P8" i="9"/>
  <c r="P9" i="9" s="1"/>
  <c r="F47" i="8"/>
  <c r="AA16" i="9"/>
  <c r="O16" i="9" s="1"/>
  <c r="AN16" i="9"/>
  <c r="AB16" i="9" s="1"/>
  <c r="AN13" i="9"/>
  <c r="AB13" i="9" s="1"/>
  <c r="AA13" i="9"/>
  <c r="O13" i="9" s="1"/>
  <c r="N8" i="11" s="1"/>
  <c r="K14" i="11"/>
  <c r="K12" i="10"/>
  <c r="K15" i="10" s="1"/>
  <c r="G153" i="7"/>
  <c r="N48" i="9"/>
  <c r="M9" i="8"/>
  <c r="M27" i="7"/>
  <c r="K16" i="3"/>
  <c r="K114" i="7"/>
  <c r="K29" i="7" s="1"/>
  <c r="J23" i="11"/>
  <c r="J24" i="11" s="1"/>
  <c r="H17" i="3" s="1"/>
  <c r="J123" i="7"/>
  <c r="J157" i="7" s="1"/>
  <c r="J78" i="8"/>
  <c r="J102" i="8" s="1"/>
  <c r="J123" i="8"/>
  <c r="K31" i="10"/>
  <c r="F79" i="7"/>
  <c r="AA18" i="9"/>
  <c r="O18" i="9" s="1"/>
  <c r="AN18" i="9"/>
  <c r="AB18" i="9" s="1"/>
  <c r="AA27" i="9"/>
  <c r="AN27" i="9"/>
  <c r="AB27" i="9" s="1"/>
  <c r="K50" i="9"/>
  <c r="J14" i="8" s="1"/>
  <c r="K45" i="9"/>
  <c r="M17" i="11"/>
  <c r="M12" i="11"/>
  <c r="M13" i="10" s="1"/>
  <c r="L27" i="10"/>
  <c r="I114" i="7"/>
  <c r="I29" i="7" s="1"/>
  <c r="I157" i="7"/>
  <c r="I158" i="7" s="1"/>
  <c r="I30" i="7" s="1"/>
  <c r="F12" i="3"/>
  <c r="F13" i="3" s="1"/>
  <c r="F18" i="3" s="1"/>
  <c r="F30" i="3" s="1"/>
  <c r="F31" i="3" s="1"/>
  <c r="M41" i="9"/>
  <c r="AN15" i="9"/>
  <c r="AB15" i="9" s="1"/>
  <c r="P15" i="9" s="1"/>
  <c r="AA15" i="9"/>
  <c r="K21" i="11"/>
  <c r="N19" i="9"/>
  <c r="N20" i="9" s="1"/>
  <c r="M22" i="9"/>
  <c r="M39" i="9" s="1"/>
  <c r="J42" i="9"/>
  <c r="I69" i="8"/>
  <c r="I11" i="8" s="1"/>
  <c r="O5" i="11"/>
  <c r="AA5" i="11" s="1"/>
  <c r="BL5" i="9"/>
  <c r="AN5" i="9"/>
  <c r="AB5" i="9"/>
  <c r="AZ5" i="9"/>
  <c r="O5" i="8"/>
  <c r="M6" i="3"/>
  <c r="M24" i="3" s="1"/>
  <c r="F175" i="7"/>
  <c r="L42" i="9"/>
  <c r="K69" i="8"/>
  <c r="K11" i="8" s="1"/>
  <c r="J115" i="7"/>
  <c r="J25" i="9"/>
  <c r="I7" i="8"/>
  <c r="I25" i="7"/>
  <c r="G9" i="3"/>
  <c r="G11" i="3" s="1"/>
  <c r="H115" i="7"/>
  <c r="I102" i="8"/>
  <c r="I103" i="8" s="1"/>
  <c r="I12" i="8" s="1"/>
  <c r="K7" i="8"/>
  <c r="L25" i="9"/>
  <c r="K25" i="7"/>
  <c r="I9" i="3"/>
  <c r="I11" i="3" s="1"/>
  <c r="H185" i="7"/>
  <c r="H32" i="7"/>
  <c r="H170" i="7"/>
  <c r="AM41" i="9"/>
  <c r="Z41" i="9"/>
  <c r="H13" i="3"/>
  <c r="H12" i="3"/>
  <c r="O14" i="9"/>
  <c r="K127" i="7"/>
  <c r="J160" i="7"/>
  <c r="J161" i="7" s="1"/>
  <c r="J31" i="7" s="1"/>
  <c r="L44" i="9"/>
  <c r="M31" i="9"/>
  <c r="M24" i="9"/>
  <c r="L65" i="8"/>
  <c r="L68" i="8" s="1"/>
  <c r="L109" i="7"/>
  <c r="L113" i="7" s="1"/>
  <c r="L20" i="11"/>
  <c r="L30" i="10" s="1"/>
  <c r="L19" i="11"/>
  <c r="L29" i="10" s="1"/>
  <c r="L18" i="11"/>
  <c r="L28" i="10" s="1"/>
  <c r="L13" i="11"/>
  <c r="L14" i="10" s="1"/>
  <c r="L11" i="11"/>
  <c r="N19" i="10"/>
  <c r="O82" i="8"/>
  <c r="N105" i="8"/>
  <c r="N106" i="8" s="1"/>
  <c r="N13" i="8" s="1"/>
  <c r="L17" i="8"/>
  <c r="L81" i="8" s="1"/>
  <c r="L34" i="7"/>
  <c r="L126" i="7" s="1"/>
  <c r="J10" i="3"/>
  <c r="J15" i="3" s="1"/>
  <c r="J45" i="9"/>
  <c r="J50" i="9"/>
  <c r="I14" i="8" s="1"/>
  <c r="G47" i="10"/>
  <c r="H98" i="8"/>
  <c r="N119" i="8"/>
  <c r="N37" i="8"/>
  <c r="N29" i="8"/>
  <c r="N111" i="8"/>
  <c r="N74" i="8"/>
  <c r="N21" i="8"/>
  <c r="N53" i="8"/>
  <c r="N45" i="8"/>
  <c r="N63" i="8"/>
  <c r="AN47" i="9"/>
  <c r="AB47" i="9" s="1"/>
  <c r="AA47" i="9"/>
  <c r="O47" i="9" s="1"/>
  <c r="O41" i="10"/>
  <c r="H123" i="8"/>
  <c r="H15" i="8"/>
  <c r="J185" i="7"/>
  <c r="J170" i="7"/>
  <c r="AA17" i="9"/>
  <c r="AN17" i="9"/>
  <c r="AB17" i="9" s="1"/>
  <c r="P17" i="9" s="1"/>
  <c r="M7" i="11"/>
  <c r="N27" i="9"/>
  <c r="N10" i="9"/>
  <c r="K8" i="3"/>
  <c r="M126" i="7" l="1"/>
  <c r="L18" i="10"/>
  <c r="L22" i="10" s="1"/>
  <c r="G12" i="3"/>
  <c r="G13" i="3"/>
  <c r="G18" i="3" s="1"/>
  <c r="G30" i="3" s="1"/>
  <c r="G31" i="3" s="1"/>
  <c r="M27" i="10"/>
  <c r="M31" i="10" s="1"/>
  <c r="P47" i="9"/>
  <c r="L14" i="11"/>
  <c r="L12" i="10"/>
  <c r="L15" i="10" s="1"/>
  <c r="F141" i="7"/>
  <c r="N17" i="11"/>
  <c r="N12" i="11"/>
  <c r="N13" i="10" s="1"/>
  <c r="F94" i="8"/>
  <c r="N7" i="11"/>
  <c r="O27" i="9"/>
  <c r="O10" i="9"/>
  <c r="L8" i="3"/>
  <c r="M17" i="8"/>
  <c r="M81" i="8" s="1"/>
  <c r="M34" i="7"/>
  <c r="K10" i="3"/>
  <c r="K15" i="3" s="1"/>
  <c r="O17" i="9"/>
  <c r="K70" i="8"/>
  <c r="L114" i="7"/>
  <c r="L29" i="7" s="1"/>
  <c r="L45" i="9"/>
  <c r="L50" i="9"/>
  <c r="K14" i="8" s="1"/>
  <c r="I12" i="3"/>
  <c r="I13" i="3" s="1"/>
  <c r="I18" i="3" s="1"/>
  <c r="I30" i="3" s="1"/>
  <c r="I31" i="3" s="1"/>
  <c r="I123" i="8"/>
  <c r="I15" i="8"/>
  <c r="K133" i="7"/>
  <c r="K87" i="8"/>
  <c r="I115" i="7"/>
  <c r="L21" i="11"/>
  <c r="F81" i="7"/>
  <c r="F143" i="7" s="1"/>
  <c r="J103" i="8"/>
  <c r="J12" i="8" s="1"/>
  <c r="J15" i="8" s="1"/>
  <c r="K115" i="7"/>
  <c r="P13" i="9"/>
  <c r="O8" i="11" s="1"/>
  <c r="F48" i="8"/>
  <c r="F95" i="8" s="1"/>
  <c r="M20" i="11"/>
  <c r="M30" i="10" s="1"/>
  <c r="M19" i="11"/>
  <c r="M29" i="10" s="1"/>
  <c r="M18" i="11"/>
  <c r="M28" i="10" s="1"/>
  <c r="M13" i="11"/>
  <c r="M14" i="10" s="1"/>
  <c r="M11" i="11"/>
  <c r="O48" i="9"/>
  <c r="N9" i="8"/>
  <c r="L16" i="3"/>
  <c r="M25" i="9"/>
  <c r="L25" i="7"/>
  <c r="L7" i="8"/>
  <c r="J9" i="3"/>
  <c r="J11" i="3" s="1"/>
  <c r="K160" i="7"/>
  <c r="K161" i="7" s="1"/>
  <c r="K31" i="7" s="1"/>
  <c r="L127" i="7"/>
  <c r="O19" i="9"/>
  <c r="O20" i="9" s="1"/>
  <c r="K23" i="11"/>
  <c r="K24" i="11" s="1"/>
  <c r="I17" i="3" s="1"/>
  <c r="K78" i="8"/>
  <c r="K123" i="7"/>
  <c r="O7" i="11"/>
  <c r="P10" i="9"/>
  <c r="P27" i="9"/>
  <c r="M8" i="3"/>
  <c r="N30" i="9"/>
  <c r="AN41" i="9"/>
  <c r="AB41" i="9" s="1"/>
  <c r="AA41" i="9"/>
  <c r="K123" i="8"/>
  <c r="I185" i="7"/>
  <c r="I32" i="7"/>
  <c r="I170" i="7"/>
  <c r="O119" i="8"/>
  <c r="O63" i="8"/>
  <c r="O53" i="8"/>
  <c r="O37" i="8"/>
  <c r="O21" i="8"/>
  <c r="O111" i="8"/>
  <c r="O74" i="8"/>
  <c r="O45" i="8"/>
  <c r="O29" i="8"/>
  <c r="P14" i="9"/>
  <c r="M42" i="9"/>
  <c r="L69" i="8"/>
  <c r="L11" i="8" s="1"/>
  <c r="L31" i="10"/>
  <c r="H153" i="7"/>
  <c r="G175" i="7"/>
  <c r="N22" i="9"/>
  <c r="N39" i="9" s="1"/>
  <c r="H47" i="10"/>
  <c r="I98" i="8"/>
  <c r="O105" i="8"/>
  <c r="O106" i="8" s="1"/>
  <c r="O13" i="8" s="1"/>
  <c r="O19" i="10"/>
  <c r="L70" i="8"/>
  <c r="H18" i="3"/>
  <c r="H30" i="3" s="1"/>
  <c r="H31" i="3" s="1"/>
  <c r="K185" i="7"/>
  <c r="K170" i="7"/>
  <c r="H175" i="7"/>
  <c r="M44" i="9"/>
  <c r="O15" i="9"/>
  <c r="H113" i="8"/>
  <c r="P18" i="9"/>
  <c r="F80" i="7"/>
  <c r="J158" i="7"/>
  <c r="J30" i="7" s="1"/>
  <c r="J32" i="7" s="1"/>
  <c r="I70" i="8"/>
  <c r="P16" i="9"/>
  <c r="M18" i="10" l="1"/>
  <c r="M22" i="10" s="1"/>
  <c r="P19" i="9"/>
  <c r="O18" i="11"/>
  <c r="O28" i="10" s="1"/>
  <c r="O13" i="11"/>
  <c r="O14" i="10" s="1"/>
  <c r="O19" i="11"/>
  <c r="O29" i="10" s="1"/>
  <c r="O20" i="11"/>
  <c r="O30" i="10" s="1"/>
  <c r="O11" i="11"/>
  <c r="J12" i="3"/>
  <c r="J13" i="3" s="1"/>
  <c r="J18" i="3" s="1"/>
  <c r="J30" i="3" s="1"/>
  <c r="J31" i="3" s="1"/>
  <c r="N17" i="8"/>
  <c r="N81" i="8" s="1"/>
  <c r="L10" i="3"/>
  <c r="L15" i="3" s="1"/>
  <c r="I113" i="8"/>
  <c r="O41" i="9"/>
  <c r="M10" i="3"/>
  <c r="M15" i="3" s="1"/>
  <c r="O17" i="8"/>
  <c r="G57" i="7"/>
  <c r="O30" i="9"/>
  <c r="K157" i="7"/>
  <c r="K158" i="7" s="1"/>
  <c r="K30" i="7" s="1"/>
  <c r="K32" i="7" s="1"/>
  <c r="L160" i="7"/>
  <c r="L161" i="7" s="1"/>
  <c r="L31" i="7" s="1"/>
  <c r="M127" i="7"/>
  <c r="M160" i="7" s="1"/>
  <c r="L185" i="7"/>
  <c r="L170" i="7"/>
  <c r="L133" i="7"/>
  <c r="L87" i="8"/>
  <c r="O22" i="9"/>
  <c r="O39" i="9" s="1"/>
  <c r="N20" i="11"/>
  <c r="N30" i="10" s="1"/>
  <c r="N11" i="11"/>
  <c r="N18" i="11"/>
  <c r="N28" i="10" s="1"/>
  <c r="N13" i="11"/>
  <c r="N14" i="10" s="1"/>
  <c r="N19" i="11"/>
  <c r="N29" i="10" s="1"/>
  <c r="N27" i="10"/>
  <c r="L23" i="11"/>
  <c r="L24" i="11" s="1"/>
  <c r="J17" i="3" s="1"/>
  <c r="L78" i="8"/>
  <c r="L102" i="8" s="1"/>
  <c r="L123" i="7"/>
  <c r="N41" i="9"/>
  <c r="N44" i="9" s="1"/>
  <c r="I47" i="10"/>
  <c r="J98" i="8"/>
  <c r="J113" i="8"/>
  <c r="I153" i="7"/>
  <c r="F35" i="10"/>
  <c r="G32" i="8"/>
  <c r="F49" i="8"/>
  <c r="F76" i="8" s="1"/>
  <c r="L123" i="8"/>
  <c r="O17" i="11"/>
  <c r="O12" i="11"/>
  <c r="O13" i="10" s="1"/>
  <c r="M21" i="11"/>
  <c r="F142" i="7"/>
  <c r="F82" i="7"/>
  <c r="M45" i="9"/>
  <c r="M50" i="9"/>
  <c r="L14" i="8" s="1"/>
  <c r="M65" i="8"/>
  <c r="M68" i="8" s="1"/>
  <c r="N24" i="9"/>
  <c r="N31" i="9"/>
  <c r="M109" i="7"/>
  <c r="M113" i="7" s="1"/>
  <c r="K102" i="8"/>
  <c r="K103" i="8" s="1"/>
  <c r="K12" i="8" s="1"/>
  <c r="K15" i="8" s="1"/>
  <c r="M14" i="11"/>
  <c r="M12" i="10"/>
  <c r="M15" i="10" s="1"/>
  <c r="L115" i="7"/>
  <c r="F34" i="10"/>
  <c r="F36" i="10" s="1"/>
  <c r="F43" i="10" s="1"/>
  <c r="F49" i="10" s="1"/>
  <c r="G31" i="8"/>
  <c r="F96" i="8"/>
  <c r="F121" i="8"/>
  <c r="F124" i="8"/>
  <c r="G55" i="7"/>
  <c r="O9" i="8"/>
  <c r="P48" i="9"/>
  <c r="M16" i="3"/>
  <c r="N50" i="9" l="1"/>
  <c r="M14" i="8" s="1"/>
  <c r="N45" i="9"/>
  <c r="N18" i="10"/>
  <c r="N22" i="10" s="1"/>
  <c r="O81" i="8"/>
  <c r="O18" i="10" s="1"/>
  <c r="O22" i="10" s="1"/>
  <c r="J153" i="7"/>
  <c r="J175" i="7"/>
  <c r="O42" i="9"/>
  <c r="N69" i="8"/>
  <c r="N11" i="8" s="1"/>
  <c r="P20" i="9"/>
  <c r="P22" i="9"/>
  <c r="P39" i="9" s="1"/>
  <c r="P30" i="9"/>
  <c r="M115" i="7"/>
  <c r="M114" i="7"/>
  <c r="M29" i="7" s="1"/>
  <c r="G56" i="7"/>
  <c r="O27" i="10"/>
  <c r="O31" i="10" s="1"/>
  <c r="O21" i="11"/>
  <c r="O87" i="8" s="1"/>
  <c r="O44" i="9"/>
  <c r="O14" i="11"/>
  <c r="O12" i="10"/>
  <c r="O15" i="10" s="1"/>
  <c r="F144" i="7"/>
  <c r="F83" i="7"/>
  <c r="F121" i="7" s="1"/>
  <c r="M87" i="8"/>
  <c r="M133" i="7"/>
  <c r="F9" i="10"/>
  <c r="F24" i="10" s="1"/>
  <c r="F51" i="10" s="1"/>
  <c r="F85" i="8"/>
  <c r="F122" i="8"/>
  <c r="J47" i="10"/>
  <c r="K98" i="8"/>
  <c r="N42" i="9"/>
  <c r="M69" i="8"/>
  <c r="M11" i="8" s="1"/>
  <c r="N31" i="10"/>
  <c r="O31" i="9"/>
  <c r="N65" i="8"/>
  <c r="N68" i="8" s="1"/>
  <c r="N70" i="8" s="1"/>
  <c r="O24" i="9"/>
  <c r="L103" i="8"/>
  <c r="L12" i="8" s="1"/>
  <c r="L15" i="8" s="1"/>
  <c r="G33" i="8"/>
  <c r="G39" i="8" s="1"/>
  <c r="G41" i="8" s="1"/>
  <c r="G47" i="8" s="1"/>
  <c r="I175" i="7"/>
  <c r="M23" i="11"/>
  <c r="M24" i="11" s="1"/>
  <c r="K17" i="3" s="1"/>
  <c r="M78" i="8"/>
  <c r="M102" i="8" s="1"/>
  <c r="M103" i="8" s="1"/>
  <c r="M12" i="8" s="1"/>
  <c r="M123" i="7"/>
  <c r="N25" i="9"/>
  <c r="M25" i="7"/>
  <c r="M7" i="8"/>
  <c r="K9" i="3"/>
  <c r="K11" i="3" s="1"/>
  <c r="L157" i="7"/>
  <c r="L158" i="7" s="1"/>
  <c r="L30" i="7" s="1"/>
  <c r="L32" i="7" s="1"/>
  <c r="N21" i="11"/>
  <c r="N87" i="8" s="1"/>
  <c r="N14" i="11"/>
  <c r="N12" i="10"/>
  <c r="N15" i="10" s="1"/>
  <c r="M161" i="7"/>
  <c r="M31" i="7" s="1"/>
  <c r="G94" i="8" l="1"/>
  <c r="N23" i="11"/>
  <c r="N24" i="11" s="1"/>
  <c r="L17" i="3" s="1"/>
  <c r="N78" i="8"/>
  <c r="N102" i="8" s="1"/>
  <c r="N103" i="8" s="1"/>
  <c r="N12" i="8" s="1"/>
  <c r="O50" i="9"/>
  <c r="N14" i="8" s="1"/>
  <c r="O45" i="9"/>
  <c r="M185" i="7"/>
  <c r="M170" i="7"/>
  <c r="M70" i="8"/>
  <c r="K47" i="10"/>
  <c r="L98" i="8"/>
  <c r="G48" i="8"/>
  <c r="G95" i="8" s="1"/>
  <c r="P24" i="9"/>
  <c r="P31" i="9"/>
  <c r="O65" i="8"/>
  <c r="O68" i="8" s="1"/>
  <c r="F171" i="7"/>
  <c r="F131" i="7"/>
  <c r="O23" i="11"/>
  <c r="O78" i="8"/>
  <c r="O102" i="8" s="1"/>
  <c r="O103" i="8" s="1"/>
  <c r="O12" i="8" s="1"/>
  <c r="P44" i="9"/>
  <c r="P41" i="9"/>
  <c r="M123" i="8"/>
  <c r="M15" i="8"/>
  <c r="F100" i="8"/>
  <c r="F114" i="8"/>
  <c r="K12" i="3"/>
  <c r="K13" i="3"/>
  <c r="K18" i="3" s="1"/>
  <c r="K30" i="3" s="1"/>
  <c r="K31" i="3" s="1"/>
  <c r="M157" i="7"/>
  <c r="M158" i="7" s="1"/>
  <c r="M30" i="7" s="1"/>
  <c r="M32" i="7" s="1"/>
  <c r="O25" i="9"/>
  <c r="N7" i="8"/>
  <c r="L9" i="3"/>
  <c r="L11" i="3" s="1"/>
  <c r="G58" i="7"/>
  <c r="G65" i="7" s="1"/>
  <c r="G71" i="7" s="1"/>
  <c r="G73" i="7" s="1"/>
  <c r="F151" i="7"/>
  <c r="F183" i="7"/>
  <c r="F186" i="7"/>
  <c r="K153" i="7"/>
  <c r="K113" i="8"/>
  <c r="G79" i="7" l="1"/>
  <c r="F184" i="7"/>
  <c r="F172" i="7"/>
  <c r="F173" i="7" s="1"/>
  <c r="G35" i="10"/>
  <c r="H32" i="8"/>
  <c r="G80" i="7"/>
  <c r="G142" i="7" s="1"/>
  <c r="L153" i="7"/>
  <c r="L175" i="7"/>
  <c r="L47" i="10"/>
  <c r="M98" i="8"/>
  <c r="L12" i="3"/>
  <c r="L13" i="3" s="1"/>
  <c r="L18" i="3" s="1"/>
  <c r="L30" i="3" s="1"/>
  <c r="L31" i="3" s="1"/>
  <c r="N123" i="8"/>
  <c r="N15" i="8"/>
  <c r="P42" i="9"/>
  <c r="O69" i="8"/>
  <c r="O11" i="8" s="1"/>
  <c r="O24" i="11"/>
  <c r="M17" i="3" s="1"/>
  <c r="O70" i="8"/>
  <c r="G34" i="10"/>
  <c r="H31" i="8"/>
  <c r="H33" i="8" s="1"/>
  <c r="H39" i="8" s="1"/>
  <c r="H41" i="8" s="1"/>
  <c r="G121" i="8"/>
  <c r="G96" i="8"/>
  <c r="G124" i="8"/>
  <c r="O7" i="8"/>
  <c r="P25" i="9"/>
  <c r="M9" i="3"/>
  <c r="K175" i="7"/>
  <c r="P45" i="9"/>
  <c r="P50" i="9"/>
  <c r="O14" i="8" s="1"/>
  <c r="F155" i="7"/>
  <c r="F176" i="7"/>
  <c r="L113" i="8"/>
  <c r="M113" i="8"/>
  <c r="G49" i="8"/>
  <c r="G76" i="8" s="1"/>
  <c r="H56" i="7" l="1"/>
  <c r="G40" i="3"/>
  <c r="G41" i="3" s="1"/>
  <c r="M11" i="3"/>
  <c r="G81" i="7"/>
  <c r="G143" i="7" s="1"/>
  <c r="G9" i="10"/>
  <c r="G24" i="10" s="1"/>
  <c r="G122" i="8"/>
  <c r="G85" i="8"/>
  <c r="G36" i="10"/>
  <c r="G43" i="10" s="1"/>
  <c r="G49" i="10" s="1"/>
  <c r="M153" i="7"/>
  <c r="M175" i="7"/>
  <c r="G141" i="7"/>
  <c r="O15" i="8"/>
  <c r="O123" i="8"/>
  <c r="H47" i="8"/>
  <c r="M47" i="10"/>
  <c r="N98" i="8"/>
  <c r="G100" i="8" l="1"/>
  <c r="G114" i="8"/>
  <c r="H94" i="8"/>
  <c r="O98" i="8"/>
  <c r="N47" i="10"/>
  <c r="H57" i="7"/>
  <c r="N113" i="8"/>
  <c r="G82" i="7"/>
  <c r="G144" i="7" s="1"/>
  <c r="G183" i="7" s="1"/>
  <c r="H55" i="7"/>
  <c r="G151" i="7"/>
  <c r="M12" i="3"/>
  <c r="M13" i="3" s="1"/>
  <c r="M18" i="3" s="1"/>
  <c r="G51" i="10"/>
  <c r="H48" i="8"/>
  <c r="H95" i="8" s="1"/>
  <c r="D40" i="3" l="1"/>
  <c r="D41" i="3" s="1"/>
  <c r="M30" i="3"/>
  <c r="M31" i="3" s="1"/>
  <c r="H34" i="10"/>
  <c r="I31" i="8"/>
  <c r="H96" i="8"/>
  <c r="H121" i="8"/>
  <c r="H124" i="8"/>
  <c r="H49" i="8"/>
  <c r="H76" i="8" s="1"/>
  <c r="H35" i="10"/>
  <c r="I32" i="8"/>
  <c r="H58" i="7"/>
  <c r="H65" i="7"/>
  <c r="H71" i="7" s="1"/>
  <c r="G83" i="7"/>
  <c r="G121" i="7" s="1"/>
  <c r="G186" i="7"/>
  <c r="O47" i="10"/>
  <c r="O113" i="8"/>
  <c r="G171" i="7" l="1"/>
  <c r="G131" i="7"/>
  <c r="H73" i="7"/>
  <c r="I33" i="8"/>
  <c r="I39" i="8" s="1"/>
  <c r="I41" i="8" s="1"/>
  <c r="I48" i="8" s="1"/>
  <c r="I95" i="8" s="1"/>
  <c r="D38" i="3"/>
  <c r="D42" i="3" s="1"/>
  <c r="G38" i="3"/>
  <c r="G42" i="3" s="1"/>
  <c r="H36" i="10"/>
  <c r="H43" i="10" s="1"/>
  <c r="H49" i="10" s="1"/>
  <c r="H122" i="8"/>
  <c r="H85" i="8"/>
  <c r="H9" i="10"/>
  <c r="H24" i="10" s="1"/>
  <c r="H51" i="10" s="1"/>
  <c r="I47" i="8"/>
  <c r="I35" i="10" l="1"/>
  <c r="J32" i="8"/>
  <c r="D44" i="3"/>
  <c r="D46" i="3"/>
  <c r="H79" i="7"/>
  <c r="H80" i="7" s="1"/>
  <c r="H142" i="7" s="1"/>
  <c r="I49" i="8"/>
  <c r="I94" i="8"/>
  <c r="G184" i="7"/>
  <c r="G172" i="7"/>
  <c r="G173" i="7" s="1"/>
  <c r="I76" i="8"/>
  <c r="H100" i="8"/>
  <c r="H114" i="8"/>
  <c r="G44" i="3"/>
  <c r="G46" i="3"/>
  <c r="G155" i="7"/>
  <c r="G176" i="7"/>
  <c r="I56" i="7" l="1"/>
  <c r="I85" i="8"/>
  <c r="I122" i="8"/>
  <c r="I9" i="10"/>
  <c r="I24" i="10" s="1"/>
  <c r="I51" i="10" s="1"/>
  <c r="H141" i="7"/>
  <c r="I34" i="10"/>
  <c r="I36" i="10" s="1"/>
  <c r="I43" i="10" s="1"/>
  <c r="I49" i="10" s="1"/>
  <c r="J31" i="8"/>
  <c r="J33" i="8" s="1"/>
  <c r="J39" i="8" s="1"/>
  <c r="J41" i="8" s="1"/>
  <c r="I96" i="8"/>
  <c r="I121" i="8"/>
  <c r="I124" i="8"/>
  <c r="H81" i="7"/>
  <c r="H143" i="7" s="1"/>
  <c r="I55" i="7" l="1"/>
  <c r="J47" i="8"/>
  <c r="J94" i="8" s="1"/>
  <c r="I100" i="8"/>
  <c r="I114" i="8"/>
  <c r="I57" i="7"/>
  <c r="H82" i="7"/>
  <c r="H144" i="7" s="1"/>
  <c r="H186" i="7" s="1"/>
  <c r="J34" i="10" l="1"/>
  <c r="K31" i="8"/>
  <c r="I65" i="7"/>
  <c r="I71" i="7" s="1"/>
  <c r="I73" i="7" s="1"/>
  <c r="I58" i="7"/>
  <c r="H183" i="7"/>
  <c r="H83" i="7"/>
  <c r="H121" i="7" s="1"/>
  <c r="H151" i="7"/>
  <c r="J48" i="8"/>
  <c r="J95" i="8" s="1"/>
  <c r="J35" i="10" l="1"/>
  <c r="K32" i="8"/>
  <c r="H171" i="7"/>
  <c r="H131" i="7"/>
  <c r="J96" i="8"/>
  <c r="I80" i="7"/>
  <c r="I142" i="7" s="1"/>
  <c r="I79" i="7"/>
  <c r="K33" i="8"/>
  <c r="K39" i="8" s="1"/>
  <c r="J124" i="8"/>
  <c r="J49" i="8"/>
  <c r="J76" i="8" s="1"/>
  <c r="J121" i="8"/>
  <c r="J36" i="10"/>
  <c r="J43" i="10" s="1"/>
  <c r="J49" i="10" s="1"/>
  <c r="J9" i="10" l="1"/>
  <c r="J24" i="10" s="1"/>
  <c r="J51" i="10" s="1"/>
  <c r="J122" i="8"/>
  <c r="J85" i="8"/>
  <c r="I81" i="7"/>
  <c r="I143" i="7" s="1"/>
  <c r="H155" i="7"/>
  <c r="H176" i="7"/>
  <c r="J56" i="7"/>
  <c r="H184" i="7"/>
  <c r="H172" i="7"/>
  <c r="H173" i="7" s="1"/>
  <c r="K41" i="8"/>
  <c r="I141" i="7"/>
  <c r="I82" i="7"/>
  <c r="I144" i="7" s="1"/>
  <c r="J100" i="8" l="1"/>
  <c r="J114" i="8"/>
  <c r="J58" i="7"/>
  <c r="I83" i="7"/>
  <c r="I121" i="7" s="1"/>
  <c r="J55" i="7"/>
  <c r="I151" i="7"/>
  <c r="I183" i="7"/>
  <c r="I186" i="7"/>
  <c r="K47" i="8"/>
  <c r="K48" i="8"/>
  <c r="K95" i="8" s="1"/>
  <c r="J57" i="7"/>
  <c r="I131" i="7" l="1"/>
  <c r="I171" i="7"/>
  <c r="K49" i="8"/>
  <c r="K76" i="8" s="1"/>
  <c r="K94" i="8"/>
  <c r="K35" i="10"/>
  <c r="L32" i="8"/>
  <c r="J65" i="7"/>
  <c r="J71" i="7" s="1"/>
  <c r="J73" i="7" s="1"/>
  <c r="I184" i="7" l="1"/>
  <c r="I172" i="7"/>
  <c r="I173" i="7" s="1"/>
  <c r="K34" i="10"/>
  <c r="K36" i="10" s="1"/>
  <c r="K43" i="10" s="1"/>
  <c r="K49" i="10" s="1"/>
  <c r="L31" i="8"/>
  <c r="L33" i="8" s="1"/>
  <c r="L39" i="8" s="1"/>
  <c r="L41" i="8" s="1"/>
  <c r="L48" i="8" s="1"/>
  <c r="L95" i="8" s="1"/>
  <c r="L47" i="8"/>
  <c r="L94" i="8" s="1"/>
  <c r="K121" i="8"/>
  <c r="K96" i="8"/>
  <c r="K124" i="8"/>
  <c r="I155" i="7"/>
  <c r="I176" i="7"/>
  <c r="K9" i="10"/>
  <c r="K24" i="10" s="1"/>
  <c r="K51" i="10" s="1"/>
  <c r="K122" i="8"/>
  <c r="K85" i="8"/>
  <c r="J79" i="7"/>
  <c r="J80" i="7" s="1"/>
  <c r="J142" i="7" s="1"/>
  <c r="L34" i="10" l="1"/>
  <c r="M31" i="8"/>
  <c r="L121" i="8"/>
  <c r="L96" i="8"/>
  <c r="L124" i="8"/>
  <c r="L35" i="10"/>
  <c r="M32" i="8"/>
  <c r="K56" i="7"/>
  <c r="K100" i="8"/>
  <c r="K114" i="8"/>
  <c r="J81" i="7"/>
  <c r="J143" i="7" s="1"/>
  <c r="L49" i="8"/>
  <c r="L76" i="8" s="1"/>
  <c r="J141" i="7"/>
  <c r="J82" i="7" l="1"/>
  <c r="J144" i="7" s="1"/>
  <c r="L9" i="10"/>
  <c r="L24" i="10" s="1"/>
  <c r="L85" i="8"/>
  <c r="L122" i="8"/>
  <c r="K57" i="7"/>
  <c r="M33" i="8"/>
  <c r="M39" i="8" s="1"/>
  <c r="M41" i="8" s="1"/>
  <c r="M47" i="8" s="1"/>
  <c r="K55" i="7"/>
  <c r="J151" i="7"/>
  <c r="J183" i="7"/>
  <c r="L36" i="10"/>
  <c r="L43" i="10" s="1"/>
  <c r="L49" i="10" s="1"/>
  <c r="M94" i="8" l="1"/>
  <c r="K58" i="7"/>
  <c r="M48" i="8"/>
  <c r="M95" i="8" s="1"/>
  <c r="L51" i="10"/>
  <c r="J186" i="7"/>
  <c r="K65" i="7"/>
  <c r="K71" i="7" s="1"/>
  <c r="L100" i="8"/>
  <c r="L114" i="8"/>
  <c r="J83" i="7"/>
  <c r="J121" i="7" s="1"/>
  <c r="M35" i="10" l="1"/>
  <c r="N32" i="8"/>
  <c r="K73" i="7"/>
  <c r="J131" i="7"/>
  <c r="J171" i="7"/>
  <c r="M34" i="10"/>
  <c r="M36" i="10" s="1"/>
  <c r="M43" i="10" s="1"/>
  <c r="M49" i="10" s="1"/>
  <c r="N31" i="8"/>
  <c r="N33" i="8" s="1"/>
  <c r="N39" i="8" s="1"/>
  <c r="M121" i="8"/>
  <c r="M96" i="8"/>
  <c r="M124" i="8"/>
  <c r="M49" i="8"/>
  <c r="M76" i="8" s="1"/>
  <c r="M85" i="8" l="1"/>
  <c r="M9" i="10"/>
  <c r="M24" i="10" s="1"/>
  <c r="M51" i="10" s="1"/>
  <c r="M122" i="8"/>
  <c r="J184" i="7"/>
  <c r="J172" i="7"/>
  <c r="J173" i="7" s="1"/>
  <c r="J155" i="7"/>
  <c r="J176" i="7"/>
  <c r="N41" i="8"/>
  <c r="N47" i="8" s="1"/>
  <c r="K80" i="7"/>
  <c r="K142" i="7" s="1"/>
  <c r="K79" i="7"/>
  <c r="N94" i="8" l="1"/>
  <c r="K141" i="7"/>
  <c r="N48" i="8"/>
  <c r="N95" i="8" s="1"/>
  <c r="L56" i="7"/>
  <c r="M100" i="8"/>
  <c r="M114" i="8"/>
  <c r="K81" i="7"/>
  <c r="K143" i="7" s="1"/>
  <c r="L57" i="7" l="1"/>
  <c r="L55" i="7"/>
  <c r="N34" i="10"/>
  <c r="O31" i="8"/>
  <c r="O33" i="8" s="1"/>
  <c r="O39" i="8" s="1"/>
  <c r="O41" i="8" s="1"/>
  <c r="N96" i="8"/>
  <c r="N121" i="8"/>
  <c r="N124" i="8"/>
  <c r="K82" i="7"/>
  <c r="K144" i="7" s="1"/>
  <c r="K151" i="7" s="1"/>
  <c r="N35" i="10"/>
  <c r="O32" i="8"/>
  <c r="N49" i="8"/>
  <c r="N76" i="8" s="1"/>
  <c r="O48" i="8" l="1"/>
  <c r="O95" i="8" s="1"/>
  <c r="O35" i="10" s="1"/>
  <c r="O47" i="8"/>
  <c r="K186" i="7"/>
  <c r="O94" i="8"/>
  <c r="L58" i="7"/>
  <c r="N9" i="10"/>
  <c r="N24" i="10" s="1"/>
  <c r="N51" i="10" s="1"/>
  <c r="N122" i="8"/>
  <c r="N85" i="8"/>
  <c r="N36" i="10"/>
  <c r="N43" i="10" s="1"/>
  <c r="N49" i="10" s="1"/>
  <c r="K183" i="7"/>
  <c r="K83" i="7"/>
  <c r="K121" i="7" s="1"/>
  <c r="L65" i="7"/>
  <c r="L71" i="7" s="1"/>
  <c r="L73" i="7" s="1"/>
  <c r="K171" i="7" l="1"/>
  <c r="K131" i="7"/>
  <c r="O49" i="8"/>
  <c r="O76" i="8" s="1"/>
  <c r="N100" i="8"/>
  <c r="N114" i="8"/>
  <c r="O34" i="10"/>
  <c r="O36" i="10" s="1"/>
  <c r="O43" i="10" s="1"/>
  <c r="O49" i="10" s="1"/>
  <c r="O96" i="8"/>
  <c r="O121" i="8"/>
  <c r="O124" i="8"/>
  <c r="L79" i="7"/>
  <c r="K155" i="7" l="1"/>
  <c r="K176" i="7"/>
  <c r="K184" i="7"/>
  <c r="K172" i="7"/>
  <c r="K173" i="7" s="1"/>
  <c r="L141" i="7"/>
  <c r="O9" i="10"/>
  <c r="O24" i="10" s="1"/>
  <c r="O51" i="10" s="1"/>
  <c r="O122" i="8"/>
  <c r="O85" i="8"/>
  <c r="L80" i="7"/>
  <c r="L142" i="7" s="1"/>
  <c r="M56" i="7" l="1"/>
  <c r="M55" i="7"/>
  <c r="O100" i="8"/>
  <c r="O114" i="8"/>
  <c r="L81" i="7"/>
  <c r="L143" i="7" l="1"/>
  <c r="L82" i="7"/>
  <c r="L144" i="7" s="1"/>
  <c r="M57" i="7" l="1"/>
  <c r="M65" i="7" s="1"/>
  <c r="M71" i="7" s="1"/>
  <c r="M73" i="7" s="1"/>
  <c r="L183" i="7"/>
  <c r="L151" i="7"/>
  <c r="L186" i="7"/>
  <c r="M58" i="7"/>
  <c r="L83" i="7"/>
  <c r="L121" i="7" s="1"/>
  <c r="M79" i="7" l="1"/>
  <c r="L171" i="7"/>
  <c r="L131" i="7"/>
  <c r="L184" i="7" l="1"/>
  <c r="L172" i="7"/>
  <c r="L173" i="7" s="1"/>
  <c r="M141" i="7"/>
  <c r="L155" i="7"/>
  <c r="L176" i="7"/>
  <c r="M80" i="7"/>
  <c r="M142" i="7" l="1"/>
  <c r="M81" i="7"/>
  <c r="M143" i="7" s="1"/>
  <c r="M183" i="7" l="1"/>
  <c r="M82" i="7"/>
  <c r="M144" i="7" s="1"/>
  <c r="M186" i="7" s="1"/>
  <c r="M151" i="7" l="1"/>
  <c r="M83" i="7"/>
  <c r="M121" i="7" s="1"/>
  <c r="M131" i="7" l="1"/>
  <c r="M171" i="7"/>
  <c r="M184" i="7" l="1"/>
  <c r="M172" i="7"/>
  <c r="M173" i="7" s="1"/>
  <c r="M155" i="7"/>
  <c r="M176" i="7"/>
</calcChain>
</file>

<file path=xl/comments1.xml><?xml version="1.0" encoding="utf-8"?>
<comments xmlns="http://schemas.openxmlformats.org/spreadsheetml/2006/main">
  <authors>
    <author>Author</author>
  </authors>
  <commentList>
    <comment ref="D28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Change discount rate as needed</t>
        </r>
      </text>
    </comment>
    <comment ref="D3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Change discount rate as needed</t>
        </r>
      </text>
    </comment>
    <comment ref="G37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Change exit multiple as needed</t>
        </r>
      </text>
    </comment>
  </commentList>
</comments>
</file>

<file path=xl/comments2.xml><?xml version="1.0" encoding="utf-8"?>
<comments xmlns="http://schemas.openxmlformats.org/spreadsheetml/2006/main">
  <authors>
    <author>rishabq dugar</author>
  </authors>
  <commentList>
    <comment ref="D24" authorId="0" shapeId="0">
      <text>
        <r>
          <rPr>
            <b/>
            <sz val="9"/>
            <color indexed="81"/>
            <rFont val="Tahoma"/>
            <family val="2"/>
          </rPr>
          <t>Author: user o adjust for non-recurring items</t>
        </r>
      </text>
    </comment>
    <comment ref="E24" authorId="0" shapeId="0">
      <text>
        <r>
          <rPr>
            <b/>
            <sz val="9"/>
            <color indexed="81"/>
            <rFont val="Tahoma"/>
            <family val="2"/>
          </rPr>
          <t>Author: user o adjust for non-recurring items</t>
        </r>
      </text>
    </comment>
    <comment ref="F24" authorId="0" shapeId="0">
      <text>
        <r>
          <rPr>
            <b/>
            <sz val="9"/>
            <color indexed="81"/>
            <rFont val="Tahoma"/>
            <family val="2"/>
          </rPr>
          <t>Author: user o adjust for non-recurring items</t>
        </r>
      </text>
    </comment>
  </commentList>
</comments>
</file>

<file path=xl/sharedStrings.xml><?xml version="1.0" encoding="utf-8"?>
<sst xmlns="http://schemas.openxmlformats.org/spreadsheetml/2006/main" count="326" uniqueCount="208">
  <si>
    <t>Free cash flow</t>
  </si>
  <si>
    <t>Sales</t>
  </si>
  <si>
    <t>EBITDA</t>
  </si>
  <si>
    <t>Depreciation</t>
  </si>
  <si>
    <t>EBIT</t>
  </si>
  <si>
    <t>Unlevered net income</t>
  </si>
  <si>
    <t>+ Depreciation</t>
  </si>
  <si>
    <t>- Capital expenditures</t>
  </si>
  <si>
    <t xml:space="preserve">-/+ Changes in working capital </t>
  </si>
  <si>
    <t>Unlevered free cash flow</t>
  </si>
  <si>
    <t xml:space="preserve">Current net debt </t>
  </si>
  <si>
    <t>Discounted cash flow analysis</t>
  </si>
  <si>
    <t>Time period of discount (Years)</t>
  </si>
  <si>
    <t>Time period of discount (Years) - mid-year convention</t>
  </si>
  <si>
    <t>Discount rate</t>
  </si>
  <si>
    <t>Discount factor</t>
  </si>
  <si>
    <t>PV of unlevered free cash flow</t>
  </si>
  <si>
    <t>TEV (perpetuity method)</t>
  </si>
  <si>
    <t>Perpetuity method</t>
  </si>
  <si>
    <t>Multiples method</t>
  </si>
  <si>
    <t xml:space="preserve">Perp growth rate / multiple </t>
  </si>
  <si>
    <t xml:space="preserve">PV of UFCF </t>
  </si>
  <si>
    <t xml:space="preserve">Discount rate </t>
  </si>
  <si>
    <t>Terminal value</t>
  </si>
  <si>
    <t>PV of terminal value</t>
  </si>
  <si>
    <t>TEV</t>
  </si>
  <si>
    <t>Net debt</t>
  </si>
  <si>
    <t>Equity value</t>
  </si>
  <si>
    <t>Purchase price calculation</t>
  </si>
  <si>
    <t>Sources</t>
  </si>
  <si>
    <t>Uses</t>
  </si>
  <si>
    <t>Bond make-whole premium</t>
  </si>
  <si>
    <t>Cash on balance sheet</t>
  </si>
  <si>
    <t>Purchase Equity</t>
  </si>
  <si>
    <t>Bond 1</t>
  </si>
  <si>
    <t>Bond 2</t>
  </si>
  <si>
    <t>Bond 3</t>
  </si>
  <si>
    <t>Bond 4</t>
  </si>
  <si>
    <t>Example</t>
  </si>
  <si>
    <t>Revolver</t>
  </si>
  <si>
    <t>Make-whole premium</t>
  </si>
  <si>
    <t>Outstanding amount</t>
  </si>
  <si>
    <t>Enterprise Value</t>
  </si>
  <si>
    <t>Term Loan 1</t>
  </si>
  <si>
    <t>Fees</t>
  </si>
  <si>
    <t>Settlement date</t>
  </si>
  <si>
    <t>Term Loan 2</t>
  </si>
  <si>
    <t>Maturity</t>
  </si>
  <si>
    <t>Total debt (+)</t>
  </si>
  <si>
    <t>Term Loan 3</t>
  </si>
  <si>
    <t>Coupon</t>
  </si>
  <si>
    <t>Total cash (-)</t>
  </si>
  <si>
    <t>Secured Note 1</t>
  </si>
  <si>
    <t>Price (per 100 face value)</t>
  </si>
  <si>
    <t>Net Debt</t>
  </si>
  <si>
    <t>Secured Note 2</t>
  </si>
  <si>
    <t>Redemption (per 100 face value)</t>
  </si>
  <si>
    <t>Unsecured Note 1</t>
  </si>
  <si>
    <t>Yield</t>
  </si>
  <si>
    <t>Unsecured Note 2</t>
  </si>
  <si>
    <t>Spread</t>
  </si>
  <si>
    <t>Make-whole call</t>
  </si>
  <si>
    <t>Rolled over debt</t>
  </si>
  <si>
    <t>Roll over debt</t>
  </si>
  <si>
    <t>Comparable treasury yield</t>
  </si>
  <si>
    <t>Sponsor equity</t>
  </si>
  <si>
    <t>Total sources</t>
  </si>
  <si>
    <t>Total uses</t>
  </si>
  <si>
    <t>Make-whole price (% of par)</t>
  </si>
  <si>
    <t>Implied multiple</t>
  </si>
  <si>
    <t>Market price</t>
  </si>
  <si>
    <t>Check</t>
  </si>
  <si>
    <t>Make-whole price ($)</t>
  </si>
  <si>
    <t>Make-whole $ premium</t>
  </si>
  <si>
    <t>Free cash flow before amortization of debt</t>
  </si>
  <si>
    <t>Total other non-operating costs</t>
  </si>
  <si>
    <t>CapEx</t>
  </si>
  <si>
    <t>Interest Expense</t>
  </si>
  <si>
    <t>Taxes</t>
  </si>
  <si>
    <t>Change in WC</t>
  </si>
  <si>
    <t>Change in Long-Term Net Assets (Ex. PPE, Amort. fees, Debt)</t>
  </si>
  <si>
    <t>FCF</t>
  </si>
  <si>
    <t>D&amp;A</t>
  </si>
  <si>
    <t>Projected Debt amortization / maturity schedule ($)</t>
  </si>
  <si>
    <t>Actual debt amortization / maturity schedule ($)</t>
  </si>
  <si>
    <t>Free cash flow after amortization of debt</t>
  </si>
  <si>
    <t>FCF available for excess paydown (draw) of debt</t>
  </si>
  <si>
    <t>Minimum cash check</t>
  </si>
  <si>
    <t>Cash available to paydown / (need for draw)</t>
  </si>
  <si>
    <t>Excess paydown (draw) schedule</t>
  </si>
  <si>
    <t>Sweep</t>
  </si>
  <si>
    <t>Total paydown (cash to balance sheet)</t>
  </si>
  <si>
    <t>Interest expense (income)</t>
  </si>
  <si>
    <t>LIBOR</t>
  </si>
  <si>
    <t>Margin</t>
  </si>
  <si>
    <t>Libor (%)</t>
  </si>
  <si>
    <t>NA</t>
  </si>
  <si>
    <t>Interest on cash</t>
  </si>
  <si>
    <t>Unused Commitment Fee</t>
  </si>
  <si>
    <t>Net Interest Expense</t>
  </si>
  <si>
    <t>CIRC_breaker</t>
  </si>
  <si>
    <t>Revolver limit</t>
  </si>
  <si>
    <t>Net income calculations</t>
  </si>
  <si>
    <t>Net Interest expense</t>
  </si>
  <si>
    <t>Fee amortization expense</t>
  </si>
  <si>
    <t>Total other non-operating income</t>
  </si>
  <si>
    <t>EBT</t>
  </si>
  <si>
    <t>Net Income</t>
  </si>
  <si>
    <t>Balance sheet</t>
  </si>
  <si>
    <t>Opening</t>
  </si>
  <si>
    <t>+/-</t>
  </si>
  <si>
    <t>Closing</t>
  </si>
  <si>
    <t>Cash</t>
  </si>
  <si>
    <t>Current Assets Excluding Cash</t>
  </si>
  <si>
    <t>Long-Term Assets</t>
  </si>
  <si>
    <t>Amortized Fees</t>
  </si>
  <si>
    <t>Total Assets</t>
  </si>
  <si>
    <t>Current Liabilities (Excl. Debt)</t>
  </si>
  <si>
    <t>Long-Term Liabilities (Ex. Debt)</t>
  </si>
  <si>
    <t>Debt</t>
  </si>
  <si>
    <t>Equity</t>
  </si>
  <si>
    <t>check</t>
  </si>
  <si>
    <t>Working capital</t>
  </si>
  <si>
    <t>Change in Working capital</t>
  </si>
  <si>
    <t>Long-Term Net Assets (Ex. PPE, Amort. Fees, Debt)</t>
  </si>
  <si>
    <t>Change in Long-Term Net Assets (Ex. PPE, Amort. Fees, Debt)</t>
  </si>
  <si>
    <t>Returns Analysis</t>
  </si>
  <si>
    <t>Years</t>
  </si>
  <si>
    <t>Exit multiple (EV/EBITDA)</t>
  </si>
  <si>
    <t>Implied Enterprise Value</t>
  </si>
  <si>
    <t>Equity Value</t>
  </si>
  <si>
    <t>IRR by year</t>
  </si>
  <si>
    <t>ROE</t>
  </si>
  <si>
    <t>ROA</t>
  </si>
  <si>
    <t>Credit Metrics</t>
  </si>
  <si>
    <t>Total debt/EBITDA</t>
  </si>
  <si>
    <t>Net debt/EBITDA</t>
  </si>
  <si>
    <t>EBITDA-CapEx /interest expense</t>
  </si>
  <si>
    <t>Debt/total book capitalization</t>
  </si>
  <si>
    <t>Interest Expense (income)</t>
  </si>
  <si>
    <t>Dividends</t>
  </si>
  <si>
    <t>Revolving?</t>
  </si>
  <si>
    <t>Case:</t>
  </si>
  <si>
    <t>Operating Model</t>
  </si>
  <si>
    <t>Income Statement Assumptions</t>
  </si>
  <si>
    <t>Income Statement Assumptions 1</t>
  </si>
  <si>
    <t>Income Statement Assumptions 2</t>
  </si>
  <si>
    <t>Income Statement Assumptions 3</t>
  </si>
  <si>
    <t xml:space="preserve"> </t>
  </si>
  <si>
    <t>Revenue</t>
  </si>
  <si>
    <t>Net sales</t>
  </si>
  <si>
    <t>Total Revenue</t>
  </si>
  <si>
    <t>% Growth</t>
  </si>
  <si>
    <t>Operating Costs</t>
  </si>
  <si>
    <t>Cost of products sold</t>
  </si>
  <si>
    <t>Marketing and selling expenses</t>
  </si>
  <si>
    <t>Administrative expenses</t>
  </si>
  <si>
    <t>Research and development expenses</t>
  </si>
  <si>
    <t>Other expenses / (income)</t>
  </si>
  <si>
    <t>Restructuring charges</t>
  </si>
  <si>
    <t>Total Operating Costs</t>
  </si>
  <si>
    <t>Operating Income</t>
  </si>
  <si>
    <t>% Margin</t>
  </si>
  <si>
    <t>DA</t>
  </si>
  <si>
    <t>(Interest Income)</t>
  </si>
  <si>
    <t>Total Other Non-Operaring Income</t>
  </si>
  <si>
    <t>ETR</t>
  </si>
  <si>
    <t>Cap Ex</t>
  </si>
  <si>
    <t>Divident Payout</t>
  </si>
  <si>
    <t>Standardized Balance Sheet</t>
  </si>
  <si>
    <t>Cash and cash equivalents</t>
  </si>
  <si>
    <t>Total Cash</t>
  </si>
  <si>
    <t>Accounts receivable</t>
  </si>
  <si>
    <t>Inventories</t>
  </si>
  <si>
    <t>Other current assets</t>
  </si>
  <si>
    <t>Total Current Assets Excluding Cash</t>
  </si>
  <si>
    <t>Plant assets, net of depreciation</t>
  </si>
  <si>
    <t>Goodwill</t>
  </si>
  <si>
    <t>Other intangible assets, net of amortization</t>
  </si>
  <si>
    <t>Other assets</t>
  </si>
  <si>
    <t>Total Long-Term Assets</t>
  </si>
  <si>
    <t>Current Liabilities Excluding Debt</t>
  </si>
  <si>
    <t>Payable to suppliers and others</t>
  </si>
  <si>
    <t>Accrued liabilities</t>
  </si>
  <si>
    <t>Dividend payable</t>
  </si>
  <si>
    <t>Accrued income taxes</t>
  </si>
  <si>
    <t>Total Current Liabilities Excluding Debt</t>
  </si>
  <si>
    <t>Short-term borrowings</t>
  </si>
  <si>
    <t>Long-term debt</t>
  </si>
  <si>
    <t>Total Debt</t>
  </si>
  <si>
    <t>Long-Term Liabilities</t>
  </si>
  <si>
    <t>Deferred taxes</t>
  </si>
  <si>
    <t>Other liabilities</t>
  </si>
  <si>
    <t>Total Long-Term Liabilities</t>
  </si>
  <si>
    <t>Total Liabilities</t>
  </si>
  <si>
    <t>Shareholders Equity</t>
  </si>
  <si>
    <t>Total equity</t>
  </si>
  <si>
    <t>Total Shareholders Equity</t>
  </si>
  <si>
    <t>Total Liabilities and Equity</t>
  </si>
  <si>
    <t>Working capital projections</t>
  </si>
  <si>
    <t>Working capital assumptions</t>
  </si>
  <si>
    <t>COGS</t>
  </si>
  <si>
    <t>Current Assets Ex Cash</t>
  </si>
  <si>
    <t>Total Current Assets Ex Cash</t>
  </si>
  <si>
    <t>Current Liabilities Ex Debt</t>
  </si>
  <si>
    <t>Total Current Liabilities Ex Debt</t>
  </si>
  <si>
    <t>Working Capital</t>
  </si>
  <si>
    <t>Change in Working Caital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</si>
</sst>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4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0.0%_);\(0.0%\)"/>
    <numFmt numFmtId="166" formatCode="0000&quot;E&quot;"/>
    <numFmt numFmtId="167" formatCode="0000&quot;A&quot;"/>
    <numFmt numFmtId="168" formatCode="#,##0.0_);\(#,##0.0\)"/>
    <numFmt numFmtId="169" formatCode="&quot;$&quot;#,##0.0_);\(&quot;$&quot;#,##0.0\)"/>
    <numFmt numFmtId="170" formatCode="0.0\x"/>
    <numFmt numFmtId="171" formatCode="#,##0.0_);\(#,##0.0\);#,##0.0_);@_)"/>
    <numFmt numFmtId="172" formatCode="#,##0.0_);\(#,##0.0\);&quot;-&quot;?_);@_)"/>
    <numFmt numFmtId="173" formatCode="&quot;$&quot;#,##0.0_);\(&quot;$&quot;#,##0.0\);@_)"/>
    <numFmt numFmtId="174" formatCode="&quot;$&quot;#,##0.0_);\(&quot;$&quot;#,##0.0\);&quot;-&quot;?_);@_)"/>
    <numFmt numFmtId="175" formatCode="&quot;$&quot;#,##0.00_)_x_x;\(&quot;$&quot;#,##0.00\)_x_x"/>
    <numFmt numFmtId="176" formatCode="0.0%;\-0.0%;&quot;-&quot;?_);@_)"/>
    <numFmt numFmtId="177" formatCode="0.0%;\-0.0%;@_)"/>
    <numFmt numFmtId="178" formatCode="#,##0.0_);[Red]\(#,##0.0\)"/>
    <numFmt numFmtId="179" formatCode="[$$]#,##0_);\([$$]#,##0\);[$$]#,##0_);@_)"/>
    <numFmt numFmtId="180" formatCode="0.0_)\%;\(0.0\)\%;0.0_)\%;@_)_%"/>
    <numFmt numFmtId="181" formatCode="#,##0.0_)_%;\(#,##0.0\)_%;0.0_)_%;@_)_%"/>
    <numFmt numFmtId="182" formatCode="&quot;£&quot;_(#,##0.00_);&quot;£&quot;\(#,##0.00\)"/>
    <numFmt numFmtId="183" formatCode="&quot;$&quot;_(#,##0.00_);&quot;$&quot;\(#,##0.00\);&quot;$&quot;_(0.00_);@_)"/>
    <numFmt numFmtId="184" formatCode="_(&quot;$&quot;* #,##0.0_);_(&quot;$&quot;* \(#,##0.0\);_(&quot;$&quot;* &quot;-&quot;?_);_(@_)"/>
    <numFmt numFmtId="185" formatCode="#,##0.00_);\(#,##0.00\);0.00_);@_)"/>
    <numFmt numFmtId="186" formatCode="\€_(#,##0.00_);\€\(#,##0.00\);\€_(0.00_);@_)"/>
    <numFmt numFmtId="187" formatCode="#,##0_)\x;\(#,##0\)\x;0_)\x;@_)_x"/>
    <numFmt numFmtId="188" formatCode="#,##0_)_x;\(#,##0\)_x;0_)_x;@_)_x"/>
    <numFmt numFmtId="189" formatCode="_(* #,##0.0_);_(* \(#,##0.0\);_(* &quot;-&quot;?_);_(@_)"/>
    <numFmt numFmtId="190" formatCode="0.0%;\(0.0\)%"/>
    <numFmt numFmtId="191" formatCode="\+#,##0.0_);\(#,##0.0\)"/>
    <numFmt numFmtId="192" formatCode="#,##0.0_)_x_x_x;\(#,##0.0\)_x_x_x"/>
    <numFmt numFmtId="193" formatCode="#,##0.00_)_x_x;\(#,##0.00\)_x_x"/>
    <numFmt numFmtId="194" formatCode="&quot;$&quot;&quot; &quot;#,##0_);\(&quot;$&quot;&quot; &quot;#,##0\);\-_)"/>
    <numFmt numFmtId="195" formatCode="#,##0_);\(#,##0\);\-_)"/>
    <numFmt numFmtId="196" formatCode="0.0%_);\(0.0%\);\-_)"/>
    <numFmt numFmtId="197" formatCode="0.00%_);\(0.00%\);\-_)"/>
    <numFmt numFmtId="198" formatCode="_(* #,##0_);_(* \(#,##0\);_(* &quot;-&quot;??_);_(@_)"/>
    <numFmt numFmtId="199" formatCode="&quot;yes&quot;;&quot;no&quot;;&quot;no&quot;"/>
    <numFmt numFmtId="200" formatCode="General_)"/>
    <numFmt numFmtId="201" formatCode="#,##0.0000000_);[Red]\(#,##0.0000000\)"/>
    <numFmt numFmtId="202" formatCode="&quot;n&quot;"/>
    <numFmt numFmtId="203" formatCode="0.0000"/>
    <numFmt numFmtId="204" formatCode="#,##0;\(#,##0\)"/>
    <numFmt numFmtId="205" formatCode="0;[Red]0"/>
    <numFmt numFmtId="206" formatCode="0.00000000000000%"/>
    <numFmt numFmtId="207" formatCode="#,##0.0\x_);\(#,##0.0\x\)"/>
    <numFmt numFmtId="208" formatCode="&quot;$&quot;#,##0_%_);\(&quot;$&quot;#,##0\)_%;&quot;$&quot;#,##0_%_);@_%_)"/>
    <numFmt numFmtId="209" formatCode="&quot;$&quot;#,##0.0_);\(&quot;$&quot;#,##0.0\);&quot;- &quot;"/>
    <numFmt numFmtId="210" formatCode="&quot;$&quot;#,##0.00_);\(&quot;$&quot;#,##0.00\);&quot;- &quot;"/>
    <numFmt numFmtId="211" formatCode="_(&quot;$&quot;* #,##0_);_(&quot;$&quot;* \(#,##0\);_(&quot;$&quot;* &quot;-&quot;??_);_(@_)"/>
    <numFmt numFmtId="212" formatCode="&quot;$&quot;#,##0.00_%_);\(&quot;$&quot;#,##0.00\)_%;&quot;$&quot;#,##0.00_%_);@_%_)"/>
    <numFmt numFmtId="213" formatCode="#,##0.0000000000000_);\(#,##0.0000000000000\)"/>
    <numFmt numFmtId="214" formatCode="&quot;$&quot;#,##0\ ;\(&quot;$&quot;#,##0\)"/>
    <numFmt numFmtId="215" formatCode="mmm\-dd\-yyyy"/>
    <numFmt numFmtId="216" formatCode="d\-mmm\-yy_)"/>
    <numFmt numFmtId="217" formatCode="mmm\-yy_)"/>
    <numFmt numFmtId="218" formatCode="m/d/yy_%_)"/>
    <numFmt numFmtId="219" formatCode="0\ &quot;days&quot;"/>
    <numFmt numFmtId="220" formatCode="0.0&quot;  &quot;"/>
    <numFmt numFmtId="221" formatCode="0_%_);\(0\)_%;0_%_);@_%_)"/>
    <numFmt numFmtId="222" formatCode="\€\ #,##0.0_);\(\€\ #,##0.0\);@_)"/>
    <numFmt numFmtId="223" formatCode="\€\ #,##0.0_);\(\€\ #,##0.0\);&quot;-&quot;?_);@_)"/>
    <numFmt numFmtId="224" formatCode="_([$€-2]* #,##0.00_);_([$€-2]* \(#,##0.00\);_([$€-2]* &quot;-&quot;??_)"/>
    <numFmt numFmtId="225" formatCode="#,##0.0"/>
    <numFmt numFmtId="226" formatCode="0.0\%_);\(0.0\%\);0.0\%_);@_%_)"/>
    <numFmt numFmtId="227" formatCode=";;;"/>
    <numFmt numFmtId="228" formatCode="#,##0.0&quot; x&quot;_);\(#,##0.0&quot; x&quot;\)"/>
    <numFmt numFmtId="229" formatCode="&quot;$&quot;0.0_);\(&quot;$&quot;0.0\)"/>
    <numFmt numFmtId="230" formatCode="#,##0.0\x;\-#,##0.0\x;&quot;-&quot;?_);@_)"/>
    <numFmt numFmtId="231" formatCode="0.0\x_)_);\(0.0\x\)_);&quot;-&quot;_);_(@_)"/>
    <numFmt numFmtId="232" formatCode="mm/dd/yy"/>
    <numFmt numFmtId="233" formatCode="#,##0.0;\(#,##0.0\)"/>
    <numFmt numFmtId="234" formatCode="&quot;Yes&quot;;;&quot;No&quot;"/>
    <numFmt numFmtId="235" formatCode="#,##0.0_);\(#,##0.0_)"/>
    <numFmt numFmtId="236" formatCode="&quot;On&quot;;;&quot;Off&quot;"/>
    <numFmt numFmtId="237" formatCode="0.0%;[Red]\(0.0%\)"/>
    <numFmt numFmtId="238" formatCode="#,##0.0\%_);\(#,##0.0\%\);#,##0.0\%_);@_)"/>
    <numFmt numFmtId="239" formatCode="#,##0.0_);\(#,##0.0\);&quot;-&quot;_);_(@_)"/>
    <numFmt numFmtId="240" formatCode="&quot;Include&quot;;;&quot;Exclude&quot;"/>
    <numFmt numFmtId="241" formatCode="&quot;on&quot;;;&quot;off&quot;"/>
    <numFmt numFmtId="242" formatCode="0.00000"/>
    <numFmt numFmtId="243" formatCode="0.0000%"/>
    <numFmt numFmtId="244" formatCode="\$#,##0_);\(\$#,##0\)"/>
    <numFmt numFmtId="245" formatCode="0.0\ &quot;days&quot;"/>
    <numFmt numFmtId="246" formatCode="0.0\x;\(0.0\x\)"/>
    <numFmt numFmtId="247" formatCode="\$#,##0.000_);\(\$#,##0.000\)"/>
    <numFmt numFmtId="248" formatCode="0.0\x_);\(0.0\x\)"/>
    <numFmt numFmtId="249" formatCode="&quot;Yes&quot;\ ;;\ &quot;No&quot;"/>
  </numFmts>
  <fonts count="1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8"/>
      <name val="Arial"/>
      <family val="2"/>
    </font>
    <font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7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name val="MS Sans Serif"/>
      <family val="2"/>
    </font>
    <font>
      <sz val="10"/>
      <name val="Arial Narrow"/>
      <family val="2"/>
    </font>
    <font>
      <sz val="12"/>
      <color indexed="8"/>
      <name val="Times New Roman"/>
      <family val="1"/>
    </font>
    <font>
      <sz val="10"/>
      <name val="Courier"/>
      <family val="3"/>
    </font>
    <font>
      <b/>
      <sz val="22"/>
      <color indexed="18"/>
      <name val="Arial"/>
      <family val="2"/>
    </font>
    <font>
      <sz val="10"/>
      <name val="Times New Roman"/>
      <family val="1"/>
    </font>
    <font>
      <sz val="10"/>
      <name val="Univers Condensed"/>
      <family val="2"/>
    </font>
    <font>
      <b/>
      <sz val="10"/>
      <color indexed="18"/>
      <name val="Times New Roman"/>
      <family val="1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Garamond"/>
    </font>
    <font>
      <b/>
      <sz val="10"/>
      <color indexed="39"/>
      <name val="Arial"/>
      <family val="2"/>
    </font>
    <font>
      <sz val="12"/>
      <name val="Arial"/>
      <family val="2"/>
    </font>
    <font>
      <sz val="8"/>
      <color indexed="12"/>
      <name val="Helv"/>
    </font>
    <font>
      <sz val="10"/>
      <name val="Geneva"/>
    </font>
    <font>
      <b/>
      <sz val="12"/>
      <color indexed="55"/>
      <name val="Arial"/>
      <family val="2"/>
    </font>
    <font>
      <sz val="10"/>
      <color indexed="54"/>
      <name val="Arial Narrow"/>
      <family val="2"/>
    </font>
    <font>
      <sz val="10"/>
      <color indexed="8"/>
      <name val="Times New Roman"/>
      <family val="1"/>
    </font>
    <font>
      <sz val="10"/>
      <color indexed="12"/>
      <name val="Arial Narrow"/>
      <family val="2"/>
    </font>
    <font>
      <sz val="10"/>
      <color indexed="12"/>
      <name val="Times New Roman"/>
      <family val="1"/>
    </font>
    <font>
      <sz val="8"/>
      <name val="Times New Roman"/>
      <family val="1"/>
    </font>
    <font>
      <sz val="8"/>
      <name val="Wingdings"/>
      <charset val="2"/>
    </font>
    <font>
      <u/>
      <sz val="9"/>
      <name val="Times New Roman"/>
      <family val="1"/>
    </font>
    <font>
      <sz val="10"/>
      <color indexed="8"/>
      <name val="Arial"/>
      <family val="2"/>
    </font>
    <font>
      <b/>
      <sz val="10"/>
      <name val="Arial Narrow"/>
      <family val="2"/>
    </font>
    <font>
      <b/>
      <sz val="12"/>
      <name val="Arial"/>
      <family val="2"/>
    </font>
    <font>
      <b/>
      <u val="singleAccounting"/>
      <sz val="8"/>
      <name val="Arial"/>
      <family val="2"/>
    </font>
    <font>
      <b/>
      <u val="singleAccounting"/>
      <sz val="8"/>
      <color indexed="8"/>
      <name val="Arial"/>
      <family val="2"/>
    </font>
    <font>
      <sz val="14"/>
      <name val="Terminal"/>
      <family val="3"/>
    </font>
    <font>
      <sz val="10"/>
      <color indexed="9"/>
      <name val="Times"/>
      <family val="1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9"/>
      <name val="Arial Narrow"/>
      <family val="2"/>
    </font>
    <font>
      <sz val="12"/>
      <color indexed="24"/>
      <name val="Arial"/>
      <family val="2"/>
    </font>
    <font>
      <sz val="7"/>
      <name val="Arial"/>
      <family val="2"/>
    </font>
    <font>
      <b/>
      <sz val="12"/>
      <name val="Times New Roman"/>
      <family val="1"/>
    </font>
    <font>
      <sz val="8"/>
      <name val="Palatino"/>
      <family val="1"/>
    </font>
    <font>
      <i/>
      <sz val="10"/>
      <name val="Arial Narrow"/>
      <family val="2"/>
    </font>
    <font>
      <sz val="12"/>
      <name val="TimesNewRomanPS"/>
    </font>
    <font>
      <sz val="10"/>
      <name val="Palatino"/>
      <family val="1"/>
    </font>
    <font>
      <u val="doubleAccounting"/>
      <sz val="10"/>
      <name val="Arial"/>
      <family val="2"/>
    </font>
    <font>
      <sz val="5"/>
      <name val="Arial"/>
      <family val="2"/>
    </font>
    <font>
      <sz val="8"/>
      <color indexed="10"/>
      <name val="Arial"/>
      <family val="2"/>
    </font>
    <font>
      <sz val="9"/>
      <name val="GillSans"/>
    </font>
    <font>
      <sz val="9"/>
      <name val="GillSans Light"/>
    </font>
    <font>
      <b/>
      <sz val="8"/>
      <name val="Arial"/>
      <family val="2"/>
    </font>
    <font>
      <sz val="8"/>
      <color indexed="23"/>
      <name val="Arial"/>
      <family val="2"/>
    </font>
    <font>
      <b/>
      <sz val="8"/>
      <color indexed="8"/>
      <name val="Arial"/>
      <family val="2"/>
    </font>
    <font>
      <sz val="18"/>
      <color indexed="24"/>
      <name val="Arial"/>
      <family val="2"/>
    </font>
    <font>
      <sz val="8"/>
      <color indexed="24"/>
      <name val="Arial"/>
      <family val="2"/>
    </font>
    <font>
      <i/>
      <sz val="14"/>
      <name val="Palatino"/>
      <family val="1"/>
    </font>
    <font>
      <b/>
      <sz val="10"/>
      <color indexed="12"/>
      <name val="Arial"/>
      <family val="2"/>
    </font>
    <font>
      <b/>
      <i/>
      <sz val="22"/>
      <name val="Times New Roman"/>
      <family val="1"/>
    </font>
    <font>
      <sz val="1"/>
      <color indexed="9"/>
      <name val="Symbol"/>
      <family val="1"/>
    </font>
    <font>
      <sz val="8"/>
      <color indexed="12"/>
      <name val="CG Times (W1)"/>
      <family val="1"/>
    </font>
    <font>
      <sz val="8"/>
      <color indexed="8"/>
      <name val="Helv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10"/>
      <color indexed="20"/>
      <name val="Times New Roman"/>
      <family val="1"/>
    </font>
    <font>
      <sz val="12"/>
      <color indexed="14"/>
      <name val="Arial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sz val="7"/>
      <name val="Small Fonts"/>
      <family val="3"/>
    </font>
    <font>
      <b/>
      <i/>
      <sz val="16"/>
      <name val="Helv"/>
    </font>
    <font>
      <sz val="9"/>
      <name val="Arial"/>
      <family val="2"/>
    </font>
    <font>
      <sz val="9"/>
      <color theme="1"/>
      <name val="Arial Narrow"/>
      <family val="2"/>
    </font>
    <font>
      <i/>
      <sz val="10"/>
      <name val="Arial"/>
      <family val="2"/>
    </font>
    <font>
      <i/>
      <sz val="10"/>
      <name val="Helv"/>
      <family val="2"/>
    </font>
    <font>
      <b/>
      <sz val="10"/>
      <color indexed="12"/>
      <name val="Arial Narrow"/>
      <family val="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b/>
      <sz val="18"/>
      <name val="Times New Roman"/>
      <family val="1"/>
    </font>
    <font>
      <sz val="10"/>
      <color indexed="16"/>
      <name val="Helvetica-Black"/>
    </font>
    <font>
      <sz val="10"/>
      <color indexed="10"/>
      <name val="Arial Narrow"/>
      <family val="2"/>
    </font>
    <font>
      <sz val="10"/>
      <color indexed="10"/>
      <name val="MS Sans Serif"/>
      <family val="2"/>
    </font>
    <font>
      <b/>
      <sz val="8"/>
      <color indexed="9"/>
      <name val="Verdana"/>
      <family val="2"/>
    </font>
    <font>
      <sz val="12"/>
      <name val="Osaka"/>
    </font>
    <font>
      <b/>
      <sz val="24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4"/>
      <color indexed="9"/>
      <name val="Arial"/>
      <family val="2"/>
    </font>
    <font>
      <u val="singleAccounting"/>
      <sz val="10"/>
      <name val="Arial"/>
      <family val="2"/>
    </font>
    <font>
      <b/>
      <sz val="13"/>
      <color indexed="8"/>
      <name val="Verdana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sz val="2"/>
      <color indexed="9"/>
      <name val="Symbol"/>
      <family val="1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7"/>
      <name val="Palatino"/>
      <family val="1"/>
    </font>
    <font>
      <sz val="12"/>
      <color indexed="12"/>
      <name val="Arial MT"/>
    </font>
    <font>
      <sz val="12"/>
      <name val="Times New Roman"/>
      <family val="1"/>
    </font>
    <font>
      <b/>
      <sz val="8"/>
      <color indexed="60"/>
      <name val="Arial"/>
      <family val="2"/>
    </font>
    <font>
      <sz val="8"/>
      <name val="Helv"/>
    </font>
    <font>
      <sz val="10"/>
      <color indexed="62"/>
      <name val="Arial"/>
      <family val="2"/>
    </font>
    <font>
      <sz val="12"/>
      <color indexed="8"/>
      <name val="Times"/>
      <family val="1"/>
    </font>
    <font>
      <sz val="12"/>
      <name val="Osaka"/>
    </font>
    <font>
      <sz val="11"/>
      <color rgb="FF006400"/>
      <name val="Calibri"/>
      <family val="2"/>
    </font>
    <font>
      <sz val="11"/>
      <color rgb="FF00008B"/>
      <name val="Calibri"/>
      <family val="2"/>
      <scheme val="minor"/>
    </font>
    <font>
      <sz val="11"/>
      <color rgb="FF800080"/>
      <name val="Calibri"/>
      <family val="2"/>
      <scheme val="minor"/>
    </font>
    <font>
      <sz val="11"/>
      <color rgb="FFFF8C00"/>
      <name val="Calibri"/>
      <family val="2"/>
      <scheme val="minor"/>
    </font>
    <font>
      <i/>
      <sz val="11"/>
      <color rgb="FFA9A9A9"/>
      <name val="Calibri"/>
      <family val="2"/>
      <scheme val="minor"/>
    </font>
    <font>
      <sz val="11"/>
      <color rgb="FF0064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theme="3"/>
      <name val="Calibri"/>
      <family val="2"/>
    </font>
    <font>
      <sz val="11"/>
      <color rgb="FF00008B"/>
      <name val="Calibri"/>
      <family val="2"/>
    </font>
    <font>
      <sz val="11"/>
      <color rgb="FF006400"/>
      <name val="Calibri"/>
      <family val="2"/>
    </font>
    <font>
      <sz val="11"/>
      <color rgb="FF006400" tint="-0.249977111117893"/>
      <name val="Calibri"/>
      <family val="2"/>
    </font>
    <font>
      <sz val="11"/>
      <color rgb="FF00008B"/>
      <name val="Calibri"/>
      <family val="2"/>
    </font>
    <font>
      <i/>
      <sz val="11"/>
      <name val="Calibri"/>
      <family val="2"/>
    </font>
    <font>
      <b/>
      <sz val="11"/>
      <color theme="1"/>
      <name val="Calibri"/>
      <family val="2"/>
    </font>
    <font>
      <sz val="11"/>
      <color rgb="FF006400"/>
      <name val="Calibri"/>
      <family val="2"/>
    </font>
    <font>
      <sz val="11"/>
      <color rgb="FF000000"/>
      <name val="Calibri"/>
      <family val="2"/>
    </font>
    <font>
      <sz val="11"/>
      <color rgb="FF00008B"/>
      <name val="Calibri"/>
      <family val="2"/>
    </font>
    <font>
      <i/>
      <sz val="11"/>
      <color rgb="FFA9A9A9"/>
      <name val="Calibri"/>
      <family val="2"/>
    </font>
    <font>
      <sz val="11"/>
      <color rgb="FFFF8C00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6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5"/>
      </patternFill>
    </fill>
    <fill>
      <patternFill patternType="mediumGray">
        <fgColor indexed="22"/>
      </patternFill>
    </fill>
    <fill>
      <patternFill patternType="solid">
        <fgColor indexed="5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B6C1"/>
      </patternFill>
    </fill>
  </fills>
  <borders count="57">
    <border>
      <left/>
      <right/>
      <top/>
      <bottom/>
      <diagonal/>
    </border>
    <border>
      <left/>
      <right/>
      <top/>
      <bottom style="thin">
        <color theme="3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theme="0"/>
      </right>
      <top style="thin">
        <color theme="3"/>
      </top>
      <bottom/>
      <diagonal/>
    </border>
    <border>
      <left style="thick">
        <color theme="0"/>
      </left>
      <right style="thick">
        <color theme="0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 tint="-0.499984740745262"/>
      </bottom>
      <diagonal/>
    </border>
    <border>
      <left style="medium">
        <color theme="0"/>
      </left>
      <right style="medium">
        <color theme="0"/>
      </right>
      <top/>
      <bottom style="thin">
        <color theme="1" tint="0.499984740745262"/>
      </bottom>
      <diagonal/>
    </border>
    <border>
      <left style="medium">
        <color theme="0"/>
      </left>
      <right/>
      <top/>
      <bottom style="thin">
        <color theme="1" tint="0.499984740745262"/>
      </bottom>
      <diagonal/>
    </border>
    <border>
      <left/>
      <right style="medium">
        <color theme="0"/>
      </right>
      <top/>
      <bottom style="thin">
        <color theme="1" tint="0.499984740745262"/>
      </bottom>
      <diagonal/>
    </border>
    <border>
      <left style="medium">
        <color theme="4" tint="0.79998168889431442"/>
      </left>
      <right/>
      <top style="thin">
        <color theme="1" tint="0.499984740745262"/>
      </top>
      <bottom style="double">
        <color theme="1" tint="0.499984740745262"/>
      </bottom>
      <diagonal/>
    </border>
    <border>
      <left/>
      <right style="medium">
        <color theme="4" tint="0.79998168889431442"/>
      </right>
      <top style="thin">
        <color theme="1" tint="0.499984740745262"/>
      </top>
      <bottom style="double">
        <color theme="1" tint="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1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ck">
        <color indexed="37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indexed="12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theme="3"/>
      </top>
      <bottom/>
      <diagonal/>
    </border>
    <border>
      <left/>
      <right/>
      <top style="thin">
        <color theme="1" tint="0.499984740745262"/>
      </top>
      <bottom style="medium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rgb="FF00008B"/>
      </bottom>
      <diagonal/>
    </border>
    <border>
      <left style="thick">
        <color rgb="FFFFFFFF"/>
      </left>
      <right style="thick">
        <color rgb="FFFFFFFF"/>
      </right>
      <top/>
      <bottom style="thin">
        <color rgb="FFA9A9A9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rgb="FFA9A9A9"/>
      </top>
      <bottom/>
      <diagonal/>
    </border>
    <border>
      <left style="thin">
        <color rgb="FFFFFFFF"/>
      </left>
      <right style="thick">
        <color rgb="FFFFFFFF"/>
      </right>
      <top/>
      <bottom style="thin">
        <color rgb="FFA9A9A9"/>
      </bottom>
      <diagonal/>
    </border>
    <border>
      <left/>
      <right/>
      <top style="thin">
        <color rgb="FFA9A9A9"/>
      </top>
      <bottom style="double">
        <color rgb="FFA9A9A9"/>
      </bottom>
      <diagonal/>
    </border>
    <border>
      <left/>
      <right/>
      <top/>
      <bottom style="thin">
        <color rgb="FFA9A9A9"/>
      </bottom>
      <diagonal/>
    </border>
    <border>
      <left/>
      <right/>
      <top style="thin">
        <color rgb="FFA9A9A9"/>
      </top>
      <bottom style="thin">
        <color rgb="FFA9A9A9"/>
      </bottom>
      <diagonal/>
    </border>
    <border>
      <left/>
      <right/>
      <top style="dotted">
        <color rgb="FFFF0000"/>
      </top>
      <bottom/>
      <diagonal/>
    </border>
    <border>
      <left/>
      <right/>
      <top/>
      <bottom style="dotted">
        <color rgb="FFFF0000"/>
      </bottom>
      <diagonal/>
    </border>
    <border>
      <left style="dotted">
        <color rgb="FFFF0000"/>
      </left>
      <right/>
      <top style="dotted">
        <color rgb="FFFF0000"/>
      </top>
      <bottom/>
      <diagonal/>
    </border>
    <border>
      <left style="dotted">
        <color rgb="FFFF0000"/>
      </left>
      <right/>
      <top/>
      <bottom style="dotted">
        <color rgb="FFFF0000"/>
      </bottom>
      <diagonal/>
    </border>
    <border>
      <left/>
      <right style="dotted">
        <color rgb="FFFF0000"/>
      </right>
      <top style="dotted">
        <color rgb="FFFF0000"/>
      </top>
      <bottom/>
      <diagonal/>
    </border>
    <border>
      <left/>
      <right style="dotted">
        <color rgb="FFFF0000"/>
      </right>
      <top/>
      <bottom style="dotted">
        <color rgb="FFFF0000"/>
      </bottom>
      <diagonal/>
    </border>
    <border>
      <left style="dashed">
        <color rgb="FFA9A9A9"/>
      </left>
      <right/>
      <top/>
      <bottom/>
      <diagonal/>
    </border>
    <border>
      <left/>
      <right style="dashed">
        <color rgb="FFA9A9A9"/>
      </right>
      <top/>
      <bottom/>
      <diagonal/>
    </border>
    <border>
      <left/>
      <right style="dashed">
        <color rgb="FFA9A9A9"/>
      </right>
      <top style="thin">
        <color rgb="FFA9A9A9"/>
      </top>
      <bottom/>
      <diagonal/>
    </border>
    <border>
      <left style="dashed">
        <color rgb="FFA9A9A9"/>
      </left>
      <right/>
      <top style="dashed">
        <color rgb="FFA9A9A9"/>
      </top>
      <bottom style="thin">
        <color theme="3"/>
      </bottom>
      <diagonal/>
    </border>
    <border>
      <left style="dashed">
        <color rgb="FFA9A9A9"/>
      </left>
      <right/>
      <top/>
      <bottom style="dashed">
        <color rgb="FFA9A9A9"/>
      </bottom>
      <diagonal/>
    </border>
    <border>
      <left/>
      <right/>
      <top style="dashed">
        <color rgb="FFA9A9A9"/>
      </top>
      <bottom style="thin">
        <color theme="3"/>
      </bottom>
      <diagonal/>
    </border>
    <border>
      <left/>
      <right/>
      <top/>
      <bottom style="dashed">
        <color rgb="FFA9A9A9"/>
      </bottom>
      <diagonal/>
    </border>
    <border>
      <left/>
      <right/>
      <top style="dashed">
        <color rgb="FFA9A9A9"/>
      </top>
      <bottom/>
      <diagonal/>
    </border>
    <border>
      <left/>
      <right style="dashed">
        <color rgb="FFA9A9A9"/>
      </right>
      <top style="dashed">
        <color rgb="FFA9A9A9"/>
      </top>
      <bottom style="thin">
        <color theme="3"/>
      </bottom>
      <diagonal/>
    </border>
    <border>
      <left/>
      <right style="dashed">
        <color rgb="FFA9A9A9"/>
      </right>
      <top/>
      <bottom style="dashed">
        <color rgb="FFA9A9A9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381">
    <xf numFmtId="0" fontId="0" fillId="0" borderId="0"/>
    <xf numFmtId="0" fontId="2" fillId="0" borderId="0">
      <protection locked="0"/>
    </xf>
    <xf numFmtId="9" fontId="2" fillId="0" borderId="0"/>
    <xf numFmtId="43" fontId="2" fillId="0" borderId="0"/>
    <xf numFmtId="0" fontId="1" fillId="0" borderId="0"/>
    <xf numFmtId="0" fontId="1" fillId="0" borderId="0"/>
    <xf numFmtId="0" fontId="1" fillId="0" borderId="0"/>
    <xf numFmtId="0" fontId="10" fillId="0" borderId="0"/>
    <xf numFmtId="171" fontId="11" fillId="0" borderId="0"/>
    <xf numFmtId="172" fontId="11" fillId="0" borderId="0"/>
    <xf numFmtId="173" fontId="11" fillId="0" borderId="0"/>
    <xf numFmtId="174" fontId="11" fillId="0" borderId="0"/>
    <xf numFmtId="175" fontId="2" fillId="0" borderId="0"/>
    <xf numFmtId="0" fontId="4" fillId="0" borderId="0"/>
    <xf numFmtId="176" fontId="11" fillId="0" borderId="0"/>
    <xf numFmtId="177" fontId="11" fillId="0" borderId="0"/>
    <xf numFmtId="8" fontId="11" fillId="2" borderId="0"/>
    <xf numFmtId="178" fontId="12" fillId="0" borderId="12">
      <alignment horizontal="right"/>
    </xf>
    <xf numFmtId="179" fontId="4" fillId="0" borderId="0">
      <alignment horizontal="right"/>
    </xf>
    <xf numFmtId="180" fontId="2" fillId="0" borderId="0"/>
    <xf numFmtId="0" fontId="2" fillId="0" borderId="0"/>
    <xf numFmtId="181" fontId="2" fillId="0" borderId="0"/>
    <xf numFmtId="0" fontId="2" fillId="0" borderId="0"/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171" fontId="2" fillId="0" borderId="0"/>
    <xf numFmtId="0" fontId="2" fillId="0" borderId="0"/>
    <xf numFmtId="182" fontId="2" fillId="0" borderId="0"/>
    <xf numFmtId="0" fontId="2" fillId="0" borderId="0"/>
    <xf numFmtId="183" fontId="2" fillId="0" borderId="0"/>
    <xf numFmtId="184" fontId="2" fillId="0" borderId="0"/>
    <xf numFmtId="39" fontId="2" fillId="0" borderId="0"/>
    <xf numFmtId="0" fontId="2" fillId="0" borderId="0"/>
    <xf numFmtId="185" fontId="2" fillId="0" borderId="0"/>
    <xf numFmtId="186" fontId="2" fillId="0" borderId="0"/>
    <xf numFmtId="0" fontId="2" fillId="0" borderId="0"/>
    <xf numFmtId="0" fontId="14" fillId="0" borderId="0"/>
    <xf numFmtId="0" fontId="14" fillId="0" borderId="0"/>
    <xf numFmtId="0" fontId="2" fillId="3" borderId="0"/>
    <xf numFmtId="170" fontId="15" fillId="0" borderId="0"/>
    <xf numFmtId="0" fontId="2" fillId="0" borderId="0"/>
    <xf numFmtId="187" fontId="2" fillId="0" borderId="0"/>
    <xf numFmtId="188" fontId="2" fillId="0" borderId="0">
      <alignment horizontal="right"/>
    </xf>
    <xf numFmtId="189" fontId="2" fillId="0" borderId="0"/>
    <xf numFmtId="190" fontId="15" fillId="0" borderId="0"/>
    <xf numFmtId="0" fontId="16" fillId="0" borderId="0">
      <alignment vertical="top"/>
    </xf>
    <xf numFmtId="0" fontId="17" fillId="0" borderId="0"/>
    <xf numFmtId="0" fontId="18" fillId="0" borderId="0">
      <alignment vertical="top"/>
    </xf>
    <xf numFmtId="0" fontId="18" fillId="0" borderId="0">
      <alignment vertical="top"/>
    </xf>
    <xf numFmtId="0" fontId="17" fillId="0" borderId="13">
      <alignment horizontal="centerContinuous"/>
    </xf>
    <xf numFmtId="0" fontId="19" fillId="0" borderId="14"/>
    <xf numFmtId="0" fontId="19" fillId="0" borderId="14"/>
    <xf numFmtId="0" fontId="20" fillId="0" borderId="15">
      <alignment horizontal="center"/>
    </xf>
    <xf numFmtId="0" fontId="20" fillId="0" borderId="15">
      <alignment horizontal="center"/>
    </xf>
    <xf numFmtId="0" fontId="20" fillId="0" borderId="0">
      <alignment horizontal="left"/>
    </xf>
    <xf numFmtId="0" fontId="20" fillId="0" borderId="0">
      <alignment horizontal="left"/>
    </xf>
    <xf numFmtId="0" fontId="21" fillId="0" borderId="0">
      <alignment horizontal="centerContinuous"/>
    </xf>
    <xf numFmtId="0" fontId="21" fillId="0" borderId="0">
      <alignment horizontal="centerContinuous"/>
    </xf>
    <xf numFmtId="191" fontId="2" fillId="0" borderId="0"/>
    <xf numFmtId="192" fontId="2" fillId="0" borderId="0"/>
    <xf numFmtId="193" fontId="2" fillId="2" borderId="0"/>
    <xf numFmtId="0" fontId="2" fillId="0" borderId="0"/>
    <xf numFmtId="37" fontId="22" fillId="0" borderId="0"/>
    <xf numFmtId="168" fontId="2" fillId="0" borderId="16"/>
    <xf numFmtId="0" fontId="23" fillId="4" borderId="17">
      <alignment horizontal="center"/>
    </xf>
    <xf numFmtId="43" fontId="2" fillId="0" borderId="0">
      <alignment vertical="top"/>
    </xf>
    <xf numFmtId="41" fontId="2" fillId="0" borderId="0"/>
    <xf numFmtId="189" fontId="2" fillId="0" borderId="18"/>
    <xf numFmtId="41" fontId="2" fillId="0" borderId="0">
      <alignment vertical="top"/>
    </xf>
    <xf numFmtId="0" fontId="24" fillId="0" borderId="0"/>
    <xf numFmtId="0" fontId="25" fillId="0" borderId="0"/>
    <xf numFmtId="0" fontId="2" fillId="0" borderId="0"/>
    <xf numFmtId="0" fontId="26" fillId="0" borderId="0"/>
    <xf numFmtId="0" fontId="27" fillId="0" borderId="12">
      <protection hidden="1"/>
    </xf>
    <xf numFmtId="0" fontId="28" fillId="5" borderId="12">
      <protection hidden="1"/>
    </xf>
    <xf numFmtId="37" fontId="29" fillId="0" borderId="0"/>
    <xf numFmtId="168" fontId="30" fillId="0" borderId="0"/>
    <xf numFmtId="189" fontId="2" fillId="0" borderId="0">
      <alignment horizontal="center"/>
    </xf>
    <xf numFmtId="189" fontId="2" fillId="0" borderId="0">
      <alignment horizontal="center"/>
    </xf>
    <xf numFmtId="189" fontId="2" fillId="0" borderId="0">
      <alignment horizontal="center"/>
    </xf>
    <xf numFmtId="189" fontId="2" fillId="0" borderId="0">
      <alignment horizontal="center"/>
    </xf>
    <xf numFmtId="194" fontId="15" fillId="0" borderId="0"/>
    <xf numFmtId="195" fontId="31" fillId="0" borderId="0"/>
    <xf numFmtId="196" fontId="15" fillId="0" borderId="0"/>
    <xf numFmtId="197" fontId="15" fillId="0" borderId="0"/>
    <xf numFmtId="198" fontId="32" fillId="0" borderId="0">
      <alignment horizontal="right"/>
    </xf>
    <xf numFmtId="7" fontId="33" fillId="0" borderId="0">
      <alignment horizontal="right"/>
      <protection locked="0"/>
    </xf>
    <xf numFmtId="199" fontId="2" fillId="0" borderId="0"/>
    <xf numFmtId="0" fontId="34" fillId="0" borderId="19"/>
    <xf numFmtId="200" fontId="4" fillId="0" borderId="20"/>
    <xf numFmtId="201" fontId="2" fillId="0" borderId="0"/>
    <xf numFmtId="37" fontId="22" fillId="0" borderId="0"/>
    <xf numFmtId="202" fontId="35" fillId="0" borderId="0"/>
    <xf numFmtId="203" fontId="2" fillId="6" borderId="0">
      <protection locked="0"/>
    </xf>
    <xf numFmtId="0" fontId="36" fillId="0" borderId="0">
      <alignment horizontal="center"/>
    </xf>
    <xf numFmtId="0" fontId="37" fillId="0" borderId="0"/>
    <xf numFmtId="0" fontId="38" fillId="0" borderId="0">
      <alignment horizontal="center" wrapText="1"/>
    </xf>
    <xf numFmtId="0" fontId="39" fillId="0" borderId="0">
      <alignment wrapText="1"/>
    </xf>
    <xf numFmtId="0" fontId="40" fillId="0" borderId="0">
      <alignment horizontal="center" wrapText="1"/>
    </xf>
    <xf numFmtId="0" fontId="41" fillId="7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3" fillId="0" borderId="0"/>
    <xf numFmtId="168" fontId="34" fillId="0" borderId="0"/>
    <xf numFmtId="204" fontId="44" fillId="0" borderId="0"/>
    <xf numFmtId="205" fontId="2" fillId="0" borderId="0"/>
    <xf numFmtId="43" fontId="45" fillId="0" borderId="0"/>
    <xf numFmtId="0" fontId="2" fillId="0" borderId="0"/>
    <xf numFmtId="43" fontId="45" fillId="0" borderId="0"/>
    <xf numFmtId="206" fontId="2" fillId="0" borderId="0"/>
    <xf numFmtId="43" fontId="46" fillId="0" borderId="0"/>
    <xf numFmtId="43" fontId="1" fillId="0" borderId="0"/>
    <xf numFmtId="0" fontId="47" fillId="0" borderId="0"/>
    <xf numFmtId="3" fontId="48" fillId="0" borderId="0"/>
    <xf numFmtId="0" fontId="47" fillId="0" borderId="0"/>
    <xf numFmtId="207" fontId="2" fillId="0" borderId="0"/>
    <xf numFmtId="0" fontId="47" fillId="1" borderId="0">
      <alignment horizontal="right"/>
    </xf>
    <xf numFmtId="5" fontId="49" fillId="0" borderId="0">
      <alignment horizontal="center"/>
    </xf>
    <xf numFmtId="39" fontId="2" fillId="0" borderId="0"/>
    <xf numFmtId="0" fontId="50" fillId="0" borderId="0">
      <alignment horizontal="center" wrapText="1"/>
    </xf>
    <xf numFmtId="208" fontId="51" fillId="0" borderId="0">
      <alignment horizontal="right"/>
    </xf>
    <xf numFmtId="209" fontId="4" fillId="0" borderId="0"/>
    <xf numFmtId="210" fontId="4" fillId="0" borderId="0"/>
    <xf numFmtId="211" fontId="2" fillId="0" borderId="0"/>
    <xf numFmtId="212" fontId="51" fillId="0" borderId="0">
      <alignment horizontal="right"/>
    </xf>
    <xf numFmtId="213" fontId="2" fillId="0" borderId="0"/>
    <xf numFmtId="214" fontId="48" fillId="0" borderId="0"/>
    <xf numFmtId="0" fontId="11" fillId="2" borderId="0"/>
    <xf numFmtId="215" fontId="11" fillId="0" borderId="0"/>
    <xf numFmtId="189" fontId="52" fillId="0" borderId="0"/>
    <xf numFmtId="15" fontId="2" fillId="0" borderId="0"/>
    <xf numFmtId="216" fontId="15" fillId="0" borderId="0"/>
    <xf numFmtId="217" fontId="15" fillId="0" borderId="0"/>
    <xf numFmtId="218" fontId="51" fillId="0" borderId="0"/>
    <xf numFmtId="14" fontId="53" fillId="0" borderId="0"/>
    <xf numFmtId="0" fontId="47" fillId="0" borderId="5">
      <alignment horizontal="right"/>
    </xf>
    <xf numFmtId="15" fontId="54" fillId="0" borderId="0">
      <alignment horizontal="center"/>
    </xf>
    <xf numFmtId="219" fontId="11" fillId="8" borderId="0"/>
    <xf numFmtId="178" fontId="54" fillId="0" borderId="0">
      <alignment horizontal="center"/>
    </xf>
    <xf numFmtId="220" fontId="11" fillId="0" borderId="21"/>
    <xf numFmtId="221" fontId="51" fillId="0" borderId="22"/>
    <xf numFmtId="42" fontId="55" fillId="0" borderId="0"/>
    <xf numFmtId="200" fontId="56" fillId="0" borderId="0"/>
    <xf numFmtId="222" fontId="11" fillId="0" borderId="0"/>
    <xf numFmtId="223" fontId="32" fillId="0" borderId="0"/>
    <xf numFmtId="224" fontId="2" fillId="0" borderId="0"/>
    <xf numFmtId="207" fontId="2" fillId="0" borderId="0"/>
    <xf numFmtId="2" fontId="48" fillId="0" borderId="0"/>
    <xf numFmtId="225" fontId="57" fillId="0" borderId="0"/>
    <xf numFmtId="0" fontId="2" fillId="0" borderId="0"/>
    <xf numFmtId="178" fontId="2" fillId="0" borderId="0"/>
    <xf numFmtId="0" fontId="58" fillId="0" borderId="0"/>
    <xf numFmtId="0" fontId="59" fillId="0" borderId="0"/>
    <xf numFmtId="38" fontId="4" fillId="4" borderId="0"/>
    <xf numFmtId="0" fontId="60" fillId="9" borderId="5"/>
    <xf numFmtId="226" fontId="51" fillId="0" borderId="0">
      <alignment horizontal="right"/>
    </xf>
    <xf numFmtId="0" fontId="61" fillId="0" borderId="0"/>
    <xf numFmtId="0" fontId="62" fillId="0" borderId="0">
      <alignment horizontal="right"/>
    </xf>
    <xf numFmtId="0" fontId="39" fillId="0" borderId="23">
      <alignment horizontal="left" vertical="center"/>
    </xf>
    <xf numFmtId="0" fontId="39" fillId="0" borderId="18">
      <alignment horizontal="left" vertical="center"/>
    </xf>
    <xf numFmtId="0" fontId="63" fillId="0" borderId="0"/>
    <xf numFmtId="0" fontId="63" fillId="0" borderId="0"/>
    <xf numFmtId="0" fontId="64" fillId="0" borderId="0"/>
    <xf numFmtId="0" fontId="64" fillId="0" borderId="0"/>
    <xf numFmtId="0" fontId="65" fillId="0" borderId="0">
      <alignment horizontal="left"/>
    </xf>
    <xf numFmtId="0" fontId="65" fillId="0" borderId="0">
      <alignment horizontal="left"/>
    </xf>
    <xf numFmtId="225" fontId="66" fillId="0" borderId="0"/>
    <xf numFmtId="225" fontId="62" fillId="0" borderId="0"/>
    <xf numFmtId="0" fontId="67" fillId="0" borderId="24">
      <alignment horizontal="left"/>
    </xf>
    <xf numFmtId="227" fontId="2" fillId="0" borderId="0"/>
    <xf numFmtId="44" fontId="22" fillId="10" borderId="5"/>
    <xf numFmtId="10" fontId="4" fillId="9" borderId="5"/>
    <xf numFmtId="0" fontId="61" fillId="2" borderId="0"/>
    <xf numFmtId="0" fontId="61" fillId="2" borderId="0"/>
    <xf numFmtId="0" fontId="68" fillId="0" borderId="0"/>
    <xf numFmtId="168" fontId="11" fillId="0" borderId="25"/>
    <xf numFmtId="0" fontId="69" fillId="0" borderId="25">
      <alignment horizontal="center"/>
      <protection locked="0"/>
    </xf>
    <xf numFmtId="0" fontId="4" fillId="0" borderId="0">
      <alignment horizontal="left"/>
    </xf>
    <xf numFmtId="228" fontId="11" fillId="0" borderId="0"/>
    <xf numFmtId="207" fontId="2" fillId="2" borderId="0">
      <alignment horizontal="right"/>
    </xf>
    <xf numFmtId="0" fontId="70" fillId="0" borderId="12">
      <alignment horizontal="left"/>
      <protection locked="0"/>
    </xf>
    <xf numFmtId="0" fontId="71" fillId="0" borderId="0"/>
    <xf numFmtId="0" fontId="72" fillId="0" borderId="0"/>
    <xf numFmtId="0" fontId="73" fillId="0" borderId="0"/>
    <xf numFmtId="0" fontId="74" fillId="0" borderId="0"/>
    <xf numFmtId="0" fontId="32" fillId="0" borderId="0">
      <alignment horizontal="right"/>
    </xf>
    <xf numFmtId="0" fontId="32" fillId="0" borderId="0">
      <alignment horizontal="right"/>
    </xf>
    <xf numFmtId="3" fontId="49" fillId="0" borderId="0">
      <alignment horizontal="center"/>
    </xf>
    <xf numFmtId="229" fontId="2" fillId="0" borderId="0">
      <alignment horizontal="right"/>
    </xf>
    <xf numFmtId="0" fontId="75" fillId="0" borderId="0"/>
    <xf numFmtId="17" fontId="54" fillId="0" borderId="0">
      <alignment horizontal="center"/>
    </xf>
    <xf numFmtId="230" fontId="11" fillId="0" borderId="0"/>
    <xf numFmtId="231" fontId="4" fillId="0" borderId="0"/>
    <xf numFmtId="168" fontId="15" fillId="0" borderId="0"/>
    <xf numFmtId="0" fontId="2" fillId="0" borderId="0">
      <alignment horizontal="right"/>
    </xf>
    <xf numFmtId="0" fontId="76" fillId="11" borderId="0"/>
    <xf numFmtId="0" fontId="77" fillId="12" borderId="0"/>
    <xf numFmtId="0" fontId="78" fillId="0" borderId="0"/>
    <xf numFmtId="0" fontId="44" fillId="0" borderId="0"/>
    <xf numFmtId="37" fontId="79" fillId="0" borderId="0"/>
    <xf numFmtId="0" fontId="32" fillId="0" borderId="0"/>
    <xf numFmtId="169" fontId="11" fillId="0" borderId="0"/>
    <xf numFmtId="0" fontId="11" fillId="0" borderId="0"/>
    <xf numFmtId="165" fontId="32" fillId="0" borderId="0"/>
    <xf numFmtId="0" fontId="80" fillId="0" borderId="0"/>
    <xf numFmtId="0" fontId="47" fillId="0" borderId="0">
      <alignment vertical="center"/>
    </xf>
    <xf numFmtId="0" fontId="47" fillId="0" borderId="0">
      <alignment vertical="center"/>
    </xf>
    <xf numFmtId="0" fontId="47" fillId="0" borderId="0">
      <alignment vertical="center"/>
    </xf>
    <xf numFmtId="0" fontId="2" fillId="0" borderId="0"/>
    <xf numFmtId="0" fontId="81" fillId="0" borderId="0"/>
    <xf numFmtId="0" fontId="46" fillId="0" borderId="0"/>
    <xf numFmtId="0" fontId="82" fillId="0" borderId="0"/>
    <xf numFmtId="0" fontId="1" fillId="0" borderId="0"/>
    <xf numFmtId="0" fontId="11" fillId="0" borderId="0"/>
    <xf numFmtId="0" fontId="83" fillId="0" borderId="0"/>
    <xf numFmtId="0" fontId="83" fillId="0" borderId="0"/>
    <xf numFmtId="0" fontId="84" fillId="0" borderId="12"/>
    <xf numFmtId="0" fontId="2" fillId="0" borderId="0"/>
    <xf numFmtId="14" fontId="4" fillId="0" borderId="0"/>
    <xf numFmtId="0" fontId="13" fillId="0" borderId="0">
      <alignment horizontal="center"/>
    </xf>
    <xf numFmtId="232" fontId="2" fillId="0" borderId="0"/>
    <xf numFmtId="233" fontId="4" fillId="0" borderId="0">
      <alignment horizontal="right" wrapText="1"/>
    </xf>
    <xf numFmtId="234" fontId="85" fillId="13" borderId="5"/>
    <xf numFmtId="0" fontId="11" fillId="0" borderId="0"/>
    <xf numFmtId="235" fontId="11" fillId="0" borderId="0"/>
    <xf numFmtId="236" fontId="85" fillId="13" borderId="5"/>
    <xf numFmtId="40" fontId="86" fillId="2" borderId="0">
      <alignment horizontal="right"/>
    </xf>
    <xf numFmtId="0" fontId="87" fillId="2" borderId="0">
      <alignment horizontal="right"/>
    </xf>
    <xf numFmtId="0" fontId="88" fillId="2" borderId="26"/>
    <xf numFmtId="0" fontId="88" fillId="0" borderId="0">
      <alignment horizontal="centerContinuous"/>
    </xf>
    <xf numFmtId="0" fontId="89" fillId="0" borderId="0">
      <alignment horizontal="centerContinuous"/>
    </xf>
    <xf numFmtId="164" fontId="11" fillId="0" borderId="0"/>
    <xf numFmtId="0" fontId="90" fillId="0" borderId="0">
      <alignment horizontal="left"/>
    </xf>
    <xf numFmtId="0" fontId="91" fillId="0" borderId="0">
      <alignment horizontal="left"/>
    </xf>
    <xf numFmtId="1" fontId="92" fillId="0" borderId="0">
      <alignment horizontal="right" vertical="center"/>
    </xf>
    <xf numFmtId="225" fontId="4" fillId="14" borderId="0"/>
    <xf numFmtId="178" fontId="12" fillId="0" borderId="12">
      <alignment horizontal="right"/>
    </xf>
    <xf numFmtId="10" fontId="2" fillId="0" borderId="0"/>
    <xf numFmtId="9" fontId="45" fillId="0" borderId="0"/>
    <xf numFmtId="9" fontId="45" fillId="0" borderId="0"/>
    <xf numFmtId="237" fontId="54" fillId="0" borderId="0">
      <alignment horizontal="center"/>
    </xf>
    <xf numFmtId="238" fontId="34" fillId="0" borderId="0">
      <alignment horizontal="right"/>
    </xf>
    <xf numFmtId="0" fontId="11" fillId="0" borderId="0"/>
    <xf numFmtId="168" fontId="11" fillId="0" borderId="0"/>
    <xf numFmtId="7" fontId="32" fillId="0" borderId="0"/>
    <xf numFmtId="0" fontId="44" fillId="0" borderId="0">
      <alignment horizontal="left"/>
    </xf>
    <xf numFmtId="15" fontId="44" fillId="0" borderId="0"/>
    <xf numFmtId="4" fontId="44" fillId="0" borderId="0"/>
    <xf numFmtId="0" fontId="10" fillId="0" borderId="19">
      <alignment horizontal="center"/>
    </xf>
    <xf numFmtId="3" fontId="44" fillId="0" borderId="0"/>
    <xf numFmtId="0" fontId="44" fillId="15" borderId="0"/>
    <xf numFmtId="168" fontId="93" fillId="0" borderId="2"/>
    <xf numFmtId="0" fontId="94" fillId="0" borderId="12">
      <protection hidden="1"/>
    </xf>
    <xf numFmtId="0" fontId="38" fillId="0" borderId="0">
      <alignment vertical="top"/>
    </xf>
    <xf numFmtId="7" fontId="11" fillId="0" borderId="0"/>
    <xf numFmtId="0" fontId="95" fillId="16" borderId="0"/>
    <xf numFmtId="38" fontId="96" fillId="0" borderId="0"/>
    <xf numFmtId="0" fontId="15" fillId="12" borderId="0"/>
    <xf numFmtId="7" fontId="11" fillId="0" borderId="0"/>
    <xf numFmtId="0" fontId="97" fillId="0" borderId="0"/>
    <xf numFmtId="0" fontId="98" fillId="0" borderId="0"/>
    <xf numFmtId="0" fontId="99" fillId="0" borderId="0"/>
    <xf numFmtId="0" fontId="100" fillId="17" borderId="0">
      <alignment horizontal="center" wrapText="1"/>
    </xf>
    <xf numFmtId="0" fontId="22" fillId="0" borderId="0"/>
    <xf numFmtId="0" fontId="77" fillId="17" borderId="0"/>
    <xf numFmtId="0" fontId="11" fillId="0" borderId="0"/>
    <xf numFmtId="0" fontId="97" fillId="0" borderId="0"/>
    <xf numFmtId="42" fontId="101" fillId="0" borderId="0"/>
    <xf numFmtId="0" fontId="83" fillId="0" borderId="0"/>
    <xf numFmtId="0" fontId="16" fillId="0" borderId="0">
      <alignment vertical="top"/>
    </xf>
    <xf numFmtId="0" fontId="22" fillId="0" borderId="0"/>
    <xf numFmtId="0" fontId="102" fillId="0" borderId="0"/>
    <xf numFmtId="0" fontId="95" fillId="16" borderId="0"/>
    <xf numFmtId="0" fontId="62" fillId="12" borderId="0"/>
    <xf numFmtId="0" fontId="103" fillId="0" borderId="0"/>
    <xf numFmtId="0" fontId="62" fillId="0" borderId="0"/>
    <xf numFmtId="0" fontId="104" fillId="0" borderId="0"/>
    <xf numFmtId="0" fontId="62" fillId="0" borderId="0">
      <alignment wrapText="1"/>
    </xf>
    <xf numFmtId="0" fontId="105" fillId="0" borderId="0"/>
    <xf numFmtId="41" fontId="2" fillId="0" borderId="0"/>
    <xf numFmtId="0" fontId="106" fillId="0" borderId="0"/>
    <xf numFmtId="0" fontId="107" fillId="0" borderId="0"/>
    <xf numFmtId="0" fontId="23" fillId="0" borderId="0">
      <alignment horizontal="center" vertical="center"/>
    </xf>
    <xf numFmtId="0" fontId="108" fillId="0" borderId="0">
      <alignment vertical="center"/>
    </xf>
    <xf numFmtId="221" fontId="108" fillId="0" borderId="2">
      <alignment horizontal="right" vertical="center"/>
    </xf>
    <xf numFmtId="0" fontId="109" fillId="18" borderId="0">
      <alignment horizontal="centerContinuous" vertical="center"/>
    </xf>
    <xf numFmtId="0" fontId="109" fillId="19" borderId="2">
      <alignment horizontal="centerContinuous" vertical="center"/>
    </xf>
    <xf numFmtId="0" fontId="23" fillId="0" borderId="0"/>
    <xf numFmtId="0" fontId="110" fillId="0" borderId="0">
      <alignment horizontal="left"/>
    </xf>
    <xf numFmtId="0" fontId="111" fillId="0" borderId="25">
      <alignment horizontal="left" vertical="top"/>
    </xf>
    <xf numFmtId="0" fontId="4" fillId="0" borderId="0"/>
    <xf numFmtId="0" fontId="62" fillId="0" borderId="0"/>
    <xf numFmtId="0" fontId="104" fillId="0" borderId="0"/>
    <xf numFmtId="0" fontId="103" fillId="0" borderId="0"/>
    <xf numFmtId="0" fontId="22" fillId="0" borderId="0"/>
    <xf numFmtId="0" fontId="112" fillId="0" borderId="0"/>
    <xf numFmtId="0" fontId="15" fillId="0" borderId="0"/>
    <xf numFmtId="0" fontId="113" fillId="0" borderId="0"/>
    <xf numFmtId="40" fontId="2" fillId="0" borderId="0"/>
    <xf numFmtId="239" fontId="114" fillId="18" borderId="0">
      <alignment horizontal="centerContinuous"/>
    </xf>
    <xf numFmtId="239" fontId="114" fillId="18" borderId="0">
      <alignment horizontal="centerContinuous"/>
    </xf>
    <xf numFmtId="0" fontId="102" fillId="0" borderId="0"/>
    <xf numFmtId="0" fontId="115" fillId="5" borderId="12"/>
    <xf numFmtId="0" fontId="48" fillId="0" borderId="27"/>
    <xf numFmtId="0" fontId="48" fillId="0" borderId="27"/>
    <xf numFmtId="240" fontId="11" fillId="0" borderId="0"/>
    <xf numFmtId="241" fontId="11" fillId="0" borderId="0"/>
    <xf numFmtId="168" fontId="11" fillId="0" borderId="2"/>
    <xf numFmtId="178" fontId="116" fillId="9" borderId="0">
      <protection locked="0"/>
    </xf>
    <xf numFmtId="0" fontId="117" fillId="0" borderId="0"/>
    <xf numFmtId="0" fontId="47" fillId="0" borderId="0"/>
    <xf numFmtId="170" fontId="15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0" fontId="47" fillId="0" borderId="0"/>
    <xf numFmtId="170" fontId="15" fillId="0" borderId="0">
      <protection locked="0"/>
    </xf>
    <xf numFmtId="0" fontId="47" fillId="0" borderId="0">
      <alignment horizontal="right"/>
    </xf>
    <xf numFmtId="242" fontId="2" fillId="0" borderId="0"/>
    <xf numFmtId="234" fontId="66" fillId="13" borderId="0">
      <alignment horizontal="center"/>
    </xf>
    <xf numFmtId="0" fontId="118" fillId="0" borderId="0"/>
  </cellStyleXfs>
  <cellXfs count="177">
    <xf numFmtId="0" fontId="0" fillId="0" borderId="0" xfId="0"/>
    <xf numFmtId="0" fontId="1" fillId="0" borderId="0" xfId="4"/>
    <xf numFmtId="0" fontId="1" fillId="0" borderId="0" xfId="4"/>
    <xf numFmtId="168" fontId="1" fillId="0" borderId="0" xfId="4" applyNumberFormat="1"/>
    <xf numFmtId="0" fontId="6" fillId="0" borderId="0" xfId="4" applyFont="1" applyAlignment="1">
      <alignment horizontal="left" indent="1"/>
    </xf>
    <xf numFmtId="170" fontId="6" fillId="0" borderId="0" xfId="4" applyNumberFormat="1" applyFont="1" applyAlignment="1">
      <alignment horizontal="center" wrapText="1"/>
    </xf>
    <xf numFmtId="0" fontId="6" fillId="0" borderId="0" xfId="4" applyFont="1"/>
    <xf numFmtId="0" fontId="7" fillId="0" borderId="0" xfId="4" applyFont="1"/>
    <xf numFmtId="0" fontId="1" fillId="0" borderId="0" xfId="4"/>
    <xf numFmtId="0" fontId="6" fillId="0" borderId="6" xfId="4" applyFont="1" applyBorder="1" applyAlignment="1">
      <alignment horizontal="centerContinuous"/>
    </xf>
    <xf numFmtId="0" fontId="6" fillId="0" borderId="0" xfId="4" applyFont="1" applyAlignment="1">
      <alignment horizontal="centerContinuous"/>
    </xf>
    <xf numFmtId="166" fontId="6" fillId="0" borderId="7" xfId="4" applyNumberFormat="1" applyFont="1" applyBorder="1" applyAlignment="1">
      <alignment horizontal="center"/>
    </xf>
    <xf numFmtId="167" fontId="6" fillId="0" borderId="0" xfId="4" applyNumberFormat="1" applyFont="1" applyAlignment="1">
      <alignment horizontal="center"/>
    </xf>
    <xf numFmtId="37" fontId="3" fillId="0" borderId="0" xfId="4" applyNumberFormat="1" applyFont="1"/>
    <xf numFmtId="0" fontId="1" fillId="0" borderId="0" xfId="4" applyAlignment="1">
      <alignment horizontal="left" indent="1"/>
    </xf>
    <xf numFmtId="0" fontId="0" fillId="0" borderId="0" xfId="4" applyFont="1"/>
    <xf numFmtId="0" fontId="6" fillId="0" borderId="0" xfId="4" applyFont="1" applyAlignment="1">
      <alignment horizontal="left" indent="1"/>
    </xf>
    <xf numFmtId="0" fontId="6" fillId="0" borderId="0" xfId="4" applyFont="1"/>
    <xf numFmtId="166" fontId="6" fillId="0" borderId="0" xfId="4" applyNumberFormat="1" applyFont="1" applyAlignment="1">
      <alignment horizontal="center"/>
    </xf>
    <xf numFmtId="43" fontId="5" fillId="0" borderId="0" xfId="4" applyNumberFormat="1" applyFont="1"/>
    <xf numFmtId="43" fontId="8" fillId="0" borderId="0" xfId="4" applyNumberFormat="1" applyFont="1"/>
    <xf numFmtId="43" fontId="1" fillId="0" borderId="0" xfId="4" applyNumberFormat="1"/>
    <xf numFmtId="164" fontId="5" fillId="0" borderId="0" xfId="4" applyNumberFormat="1" applyFont="1"/>
    <xf numFmtId="164" fontId="1" fillId="0" borderId="0" xfId="4" applyNumberFormat="1"/>
    <xf numFmtId="37" fontId="1" fillId="0" borderId="0" xfId="4" applyNumberFormat="1"/>
    <xf numFmtId="166" fontId="6" fillId="0" borderId="0" xfId="4" applyNumberFormat="1" applyFont="1" applyAlignment="1">
      <alignment horizontal="center" wrapText="1"/>
    </xf>
    <xf numFmtId="0" fontId="1" fillId="0" borderId="0" xfId="4" applyAlignment="1">
      <alignment horizontal="center"/>
    </xf>
    <xf numFmtId="0" fontId="9" fillId="0" borderId="0" xfId="4" applyFont="1"/>
    <xf numFmtId="5" fontId="1" fillId="0" borderId="29" xfId="4" applyNumberFormat="1" applyBorder="1"/>
    <xf numFmtId="5" fontId="1" fillId="0" borderId="29" xfId="4" applyNumberFormat="1" applyBorder="1"/>
    <xf numFmtId="5" fontId="6" fillId="0" borderId="29" xfId="4" applyNumberFormat="1" applyFont="1" applyBorder="1"/>
    <xf numFmtId="5" fontId="6" fillId="0" borderId="29" xfId="4" applyNumberFormat="1" applyFont="1" applyBorder="1"/>
    <xf numFmtId="37" fontId="119" fillId="0" borderId="0" xfId="0" applyNumberFormat="1" applyFont="1"/>
    <xf numFmtId="5" fontId="119" fillId="0" borderId="0" xfId="0" applyNumberFormat="1" applyFont="1"/>
    <xf numFmtId="5" fontId="119" fillId="0" borderId="30" xfId="0" applyNumberFormat="1" applyFont="1" applyBorder="1"/>
    <xf numFmtId="0" fontId="0" fillId="20" borderId="0" xfId="0" applyFill="1"/>
    <xf numFmtId="0" fontId="0" fillId="0" borderId="32" xfId="0" applyBorder="1"/>
    <xf numFmtId="167" fontId="0" fillId="0" borderId="33" xfId="0" applyNumberFormat="1" applyBorder="1"/>
    <xf numFmtId="166" fontId="0" fillId="0" borderId="0" xfId="0" applyNumberFormat="1"/>
    <xf numFmtId="166" fontId="0" fillId="0" borderId="33" xfId="0" applyNumberFormat="1" applyBorder="1"/>
    <xf numFmtId="0" fontId="0" fillId="0" borderId="0" xfId="0" applyAlignment="1">
      <alignment indent="1"/>
    </xf>
    <xf numFmtId="244" fontId="0" fillId="0" borderId="0" xfId="0" applyNumberFormat="1"/>
    <xf numFmtId="244" fontId="120" fillId="0" borderId="0" xfId="0" applyNumberFormat="1" applyFont="1"/>
    <xf numFmtId="164" fontId="0" fillId="0" borderId="0" xfId="0" applyNumberFormat="1"/>
    <xf numFmtId="164" fontId="121" fillId="0" borderId="0" xfId="0" applyNumberFormat="1" applyFont="1"/>
    <xf numFmtId="164" fontId="122" fillId="0" borderId="0" xfId="0" applyNumberFormat="1" applyFont="1"/>
    <xf numFmtId="244" fontId="0" fillId="0" borderId="35" xfId="0" applyNumberFormat="1" applyBorder="1"/>
    <xf numFmtId="0" fontId="7" fillId="0" borderId="0" xfId="0" applyFont="1"/>
    <xf numFmtId="164" fontId="7" fillId="0" borderId="0" xfId="0" applyNumberFormat="1" applyFont="1"/>
    <xf numFmtId="37" fontId="0" fillId="0" borderId="0" xfId="0" applyNumberFormat="1"/>
    <xf numFmtId="37" fontId="120" fillId="0" borderId="0" xfId="0" applyNumberFormat="1" applyFont="1"/>
    <xf numFmtId="244" fontId="0" fillId="0" borderId="34" xfId="0" applyNumberFormat="1" applyBorder="1"/>
    <xf numFmtId="167" fontId="0" fillId="0" borderId="36" xfId="0" applyNumberFormat="1" applyBorder="1"/>
    <xf numFmtId="0" fontId="120" fillId="0" borderId="0" xfId="0" applyFont="1"/>
    <xf numFmtId="244" fontId="0" fillId="0" borderId="37" xfId="0" applyNumberFormat="1" applyBorder="1"/>
    <xf numFmtId="244" fontId="0" fillId="0" borderId="39" xfId="0" applyNumberFormat="1" applyBorder="1"/>
    <xf numFmtId="0" fontId="123" fillId="0" borderId="0" xfId="0" applyFont="1"/>
    <xf numFmtId="244" fontId="123" fillId="0" borderId="0" xfId="0" applyNumberFormat="1" applyFont="1"/>
    <xf numFmtId="244" fontId="124" fillId="0" borderId="0" xfId="0" applyNumberFormat="1" applyFont="1"/>
    <xf numFmtId="244" fontId="125" fillId="0" borderId="0" xfId="0" applyNumberFormat="1" applyFont="1"/>
    <xf numFmtId="245" fontId="122" fillId="0" borderId="0" xfId="0" applyNumberFormat="1" applyFont="1"/>
    <xf numFmtId="245" fontId="125" fillId="0" borderId="0" xfId="0" applyNumberFormat="1" applyFont="1"/>
    <xf numFmtId="37" fontId="124" fillId="0" borderId="0" xfId="0" applyNumberFormat="1" applyFont="1"/>
    <xf numFmtId="37" fontId="125" fillId="0" borderId="0" xfId="0" applyNumberFormat="1" applyFont="1"/>
    <xf numFmtId="164" fontId="125" fillId="0" borderId="0" xfId="0" applyNumberFormat="1" applyFont="1"/>
    <xf numFmtId="244" fontId="125" fillId="0" borderId="35" xfId="0" applyNumberFormat="1" applyFont="1" applyBorder="1"/>
    <xf numFmtId="244" fontId="0" fillId="0" borderId="40" xfId="0" applyNumberFormat="1" applyBorder="1"/>
    <xf numFmtId="244" fontId="0" fillId="0" borderId="41" xfId="0" applyNumberFormat="1" applyBorder="1"/>
    <xf numFmtId="0" fontId="0" fillId="0" borderId="42" xfId="0" applyBorder="1"/>
    <xf numFmtId="0" fontId="0" fillId="0" borderId="43" xfId="0" applyBorder="1"/>
    <xf numFmtId="244" fontId="0" fillId="0" borderId="44" xfId="0" applyNumberFormat="1" applyBorder="1"/>
    <xf numFmtId="244" fontId="0" fillId="0" borderId="45" xfId="0" applyNumberFormat="1" applyBorder="1"/>
    <xf numFmtId="0" fontId="6" fillId="0" borderId="0" xfId="0" applyFont="1"/>
    <xf numFmtId="0" fontId="6" fillId="0" borderId="31" xfId="0" applyFont="1" applyBorder="1"/>
    <xf numFmtId="0" fontId="6" fillId="0" borderId="32" xfId="0" applyFont="1" applyBorder="1"/>
    <xf numFmtId="166" fontId="6" fillId="0" borderId="33" xfId="0" applyNumberFormat="1" applyFont="1" applyBorder="1"/>
    <xf numFmtId="0" fontId="0" fillId="0" borderId="0" xfId="0"/>
    <xf numFmtId="244" fontId="120" fillId="0" borderId="56" xfId="0" applyNumberFormat="1" applyFont="1" applyBorder="1" applyAlignment="1">
      <alignment horizontal="center"/>
    </xf>
    <xf numFmtId="9" fontId="120" fillId="0" borderId="56" xfId="0" applyNumberFormat="1" applyFont="1" applyBorder="1"/>
    <xf numFmtId="0" fontId="6" fillId="0" borderId="38" xfId="0" applyFont="1" applyBorder="1"/>
    <xf numFmtId="164" fontId="120" fillId="0" borderId="38" xfId="0" applyNumberFormat="1" applyFont="1" applyBorder="1"/>
    <xf numFmtId="10" fontId="120" fillId="0" borderId="0" xfId="0" applyNumberFormat="1" applyFont="1"/>
    <xf numFmtId="0" fontId="120" fillId="0" borderId="0" xfId="0" applyFont="1" applyAlignment="1">
      <alignment horizontal="right"/>
    </xf>
    <xf numFmtId="10" fontId="120" fillId="0" borderId="0" xfId="0" applyNumberFormat="1" applyFont="1" applyAlignment="1">
      <alignment horizontal="right"/>
    </xf>
    <xf numFmtId="0" fontId="120" fillId="0" borderId="56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247" fontId="123" fillId="0" borderId="0" xfId="0" applyNumberFormat="1" applyFont="1"/>
    <xf numFmtId="248" fontId="0" fillId="0" borderId="0" xfId="0" applyNumberFormat="1"/>
    <xf numFmtId="0" fontId="126" fillId="0" borderId="0" xfId="0" applyFont="1"/>
    <xf numFmtId="0" fontId="127" fillId="0" borderId="49" xfId="0" applyFont="1" applyBorder="1"/>
    <xf numFmtId="0" fontId="128" fillId="0" borderId="51" xfId="0" applyFont="1" applyBorder="1"/>
    <xf numFmtId="0" fontId="128" fillId="0" borderId="53" xfId="0" applyFont="1" applyBorder="1"/>
    <xf numFmtId="0" fontId="127" fillId="0" borderId="51" xfId="0" applyFont="1" applyBorder="1"/>
    <xf numFmtId="0" fontId="127" fillId="0" borderId="54" xfId="0" applyFont="1" applyBorder="1"/>
    <xf numFmtId="0" fontId="128" fillId="0" borderId="0" xfId="0" applyFont="1"/>
    <xf numFmtId="0" fontId="127" fillId="0" borderId="1" xfId="0" applyFont="1" applyBorder="1"/>
    <xf numFmtId="0" fontId="128" fillId="0" borderId="1" xfId="0" applyFont="1" applyBorder="1"/>
    <xf numFmtId="0" fontId="128" fillId="0" borderId="46" xfId="0" applyFont="1" applyBorder="1"/>
    <xf numFmtId="0" fontId="128" fillId="0" borderId="3" xfId="0" applyFont="1" applyBorder="1"/>
    <xf numFmtId="0" fontId="128" fillId="0" borderId="47" xfId="0" applyFont="1" applyBorder="1"/>
    <xf numFmtId="0" fontId="128" fillId="0" borderId="28" xfId="0" applyFont="1" applyBorder="1"/>
    <xf numFmtId="7" fontId="129" fillId="0" borderId="0" xfId="0" applyNumberFormat="1" applyFont="1"/>
    <xf numFmtId="244" fontId="130" fillId="0" borderId="0" xfId="0" applyNumberFormat="1" applyFont="1"/>
    <xf numFmtId="5" fontId="128" fillId="0" borderId="47" xfId="0" applyNumberFormat="1" applyFont="1" applyBorder="1"/>
    <xf numFmtId="166" fontId="127" fillId="0" borderId="4" xfId="0" applyNumberFormat="1" applyFont="1" applyBorder="1" applyAlignment="1">
      <alignment horizontal="center"/>
    </xf>
    <xf numFmtId="0" fontId="129" fillId="0" borderId="0" xfId="0" applyFont="1"/>
    <xf numFmtId="244" fontId="128" fillId="0" borderId="47" xfId="0" applyNumberFormat="1" applyFont="1" applyBorder="1"/>
    <xf numFmtId="6" fontId="129" fillId="0" borderId="0" xfId="0" applyNumberFormat="1" applyFont="1"/>
    <xf numFmtId="244" fontId="128" fillId="0" borderId="0" xfId="0" applyNumberFormat="1" applyFont="1"/>
    <xf numFmtId="14" fontId="129" fillId="0" borderId="0" xfId="0" applyNumberFormat="1" applyFont="1"/>
    <xf numFmtId="244" fontId="119" fillId="0" borderId="47" xfId="0" applyNumberFormat="1" applyFont="1" applyBorder="1"/>
    <xf numFmtId="0" fontId="128" fillId="0" borderId="46" xfId="0" applyFont="1" applyBorder="1"/>
    <xf numFmtId="244" fontId="119" fillId="0" borderId="0" xfId="0" applyNumberFormat="1" applyFont="1"/>
    <xf numFmtId="244" fontId="131" fillId="0" borderId="47" xfId="0" applyNumberFormat="1" applyFont="1" applyBorder="1"/>
    <xf numFmtId="243" fontId="129" fillId="0" borderId="0" xfId="0" applyNumberFormat="1" applyFont="1"/>
    <xf numFmtId="0" fontId="128" fillId="0" borderId="46" xfId="0" applyFont="1" applyBorder="1" applyAlignment="1">
      <alignment indent="1"/>
    </xf>
    <xf numFmtId="244" fontId="128" fillId="0" borderId="35" xfId="0" applyNumberFormat="1" applyFont="1" applyBorder="1"/>
    <xf numFmtId="243" fontId="128" fillId="0" borderId="0" xfId="0" applyNumberFormat="1" applyFont="1"/>
    <xf numFmtId="10" fontId="129" fillId="0" borderId="0" xfId="0" applyNumberFormat="1" applyFont="1"/>
    <xf numFmtId="244" fontId="132" fillId="0" borderId="0" xfId="0" applyNumberFormat="1" applyFont="1"/>
    <xf numFmtId="0" fontId="128" fillId="0" borderId="0" xfId="0" applyFont="1" applyAlignment="1">
      <alignment indent="1"/>
    </xf>
    <xf numFmtId="244" fontId="129" fillId="0" borderId="35" xfId="0" applyNumberFormat="1" applyFont="1" applyBorder="1"/>
    <xf numFmtId="244" fontId="128" fillId="0" borderId="48" xfId="0" applyNumberFormat="1" applyFont="1" applyBorder="1"/>
    <xf numFmtId="246" fontId="133" fillId="0" borderId="0" xfId="0" applyNumberFormat="1" applyFont="1"/>
    <xf numFmtId="6" fontId="128" fillId="0" borderId="0" xfId="0" applyNumberFormat="1" applyFont="1"/>
    <xf numFmtId="0" fontId="128" fillId="0" borderId="50" xfId="0" applyFont="1" applyBorder="1"/>
    <xf numFmtId="0" fontId="128" fillId="0" borderId="52" xfId="0" applyFont="1" applyBorder="1"/>
    <xf numFmtId="0" fontId="134" fillId="0" borderId="52" xfId="0" applyFont="1" applyBorder="1"/>
    <xf numFmtId="0" fontId="128" fillId="0" borderId="55" xfId="0" applyFont="1" applyBorder="1"/>
    <xf numFmtId="8" fontId="128" fillId="0" borderId="0" xfId="0" applyNumberFormat="1" applyFont="1"/>
    <xf numFmtId="0" fontId="135" fillId="0" borderId="32" xfId="0" applyFont="1" applyBorder="1"/>
    <xf numFmtId="0" fontId="126" fillId="0" borderId="32" xfId="0" applyFont="1" applyBorder="1"/>
    <xf numFmtId="166" fontId="135" fillId="0" borderId="33" xfId="0" applyNumberFormat="1" applyFont="1" applyBorder="1"/>
    <xf numFmtId="244" fontId="136" fillId="0" borderId="0" xfId="0" applyNumberFormat="1" applyFont="1"/>
    <xf numFmtId="37" fontId="136" fillId="0" borderId="0" xfId="0" applyNumberFormat="1" applyFont="1"/>
    <xf numFmtId="37" fontId="137" fillId="0" borderId="0" xfId="0" applyNumberFormat="1" applyFont="1"/>
    <xf numFmtId="0" fontId="126" fillId="0" borderId="0" xfId="0" applyFont="1"/>
    <xf numFmtId="0" fontId="126" fillId="0" borderId="0" xfId="0" applyFont="1" applyAlignment="1">
      <alignment indent="1"/>
    </xf>
    <xf numFmtId="244" fontId="126" fillId="0" borderId="35" xfId="0" applyNumberFormat="1" applyFont="1" applyBorder="1"/>
    <xf numFmtId="244" fontId="138" fillId="0" borderId="0" xfId="0" applyNumberFormat="1" applyFont="1"/>
    <xf numFmtId="37" fontId="138" fillId="0" borderId="0" xfId="0" applyNumberFormat="1" applyFont="1"/>
    <xf numFmtId="244" fontId="126" fillId="0" borderId="0" xfId="0" applyNumberFormat="1" applyFont="1"/>
    <xf numFmtId="37" fontId="126" fillId="0" borderId="0" xfId="0" applyNumberFormat="1" applyFont="1"/>
    <xf numFmtId="244" fontId="138" fillId="0" borderId="56" xfId="0" applyNumberFormat="1" applyFont="1" applyBorder="1" applyAlignment="1">
      <alignment horizontal="center"/>
    </xf>
    <xf numFmtId="9" fontId="138" fillId="0" borderId="56" xfId="0" applyNumberFormat="1" applyFont="1" applyBorder="1"/>
    <xf numFmtId="244" fontId="126" fillId="0" borderId="34" xfId="0" applyNumberFormat="1" applyFont="1" applyBorder="1"/>
    <xf numFmtId="0" fontId="135" fillId="0" borderId="38" xfId="0" applyFont="1" applyBorder="1"/>
    <xf numFmtId="0" fontId="135" fillId="0" borderId="31" xfId="0" applyFont="1" applyBorder="1"/>
    <xf numFmtId="164" fontId="138" fillId="0" borderId="38" xfId="0" applyNumberFormat="1" applyFont="1" applyBorder="1"/>
    <xf numFmtId="0" fontId="138" fillId="0" borderId="0" xfId="0" applyFont="1" applyAlignment="1">
      <alignment horizontal="right"/>
    </xf>
    <xf numFmtId="10" fontId="138" fillId="0" borderId="0" xfId="0" applyNumberFormat="1" applyFont="1" applyAlignment="1">
      <alignment horizontal="right"/>
    </xf>
    <xf numFmtId="0" fontId="138" fillId="0" borderId="0" xfId="0" applyFont="1"/>
    <xf numFmtId="10" fontId="138" fillId="0" borderId="0" xfId="0" applyNumberFormat="1" applyFont="1"/>
    <xf numFmtId="0" fontId="138" fillId="0" borderId="56" xfId="0" applyFont="1" applyBorder="1" applyAlignment="1">
      <alignment horizontal="center"/>
    </xf>
    <xf numFmtId="9" fontId="138" fillId="0" borderId="56" xfId="0" applyNumberFormat="1" applyFont="1" applyBorder="1" applyAlignment="1">
      <alignment horizontal="center"/>
    </xf>
    <xf numFmtId="0" fontId="135" fillId="0" borderId="38" xfId="0" applyFont="1" applyBorder="1" applyAlignment="1">
      <alignment horizontal="center"/>
    </xf>
    <xf numFmtId="0" fontId="139" fillId="0" borderId="0" xfId="0" applyFont="1"/>
    <xf numFmtId="247" fontId="139" fillId="0" borderId="0" xfId="0" applyNumberFormat="1" applyFont="1"/>
    <xf numFmtId="248" fontId="140" fillId="0" borderId="0" xfId="0" applyNumberFormat="1" applyFont="1"/>
    <xf numFmtId="248" fontId="126" fillId="0" borderId="0" xfId="0" applyNumberFormat="1" applyFont="1"/>
    <xf numFmtId="164" fontId="126" fillId="0" borderId="0" xfId="0" applyNumberFormat="1" applyFont="1"/>
    <xf numFmtId="249" fontId="120" fillId="0" borderId="0" xfId="0" applyNumberFormat="1" applyFont="1"/>
    <xf numFmtId="166" fontId="0" fillId="0" borderId="36" xfId="0" applyNumberFormat="1" applyBorder="1"/>
    <xf numFmtId="244" fontId="124" fillId="0" borderId="35" xfId="0" applyNumberFormat="1" applyFont="1" applyBorder="1"/>
    <xf numFmtId="244" fontId="124" fillId="0" borderId="39" xfId="0" applyNumberFormat="1" applyFont="1" applyBorder="1"/>
    <xf numFmtId="170" fontId="6" fillId="0" borderId="10" xfId="4" applyNumberFormat="1" applyFont="1" applyBorder="1" applyAlignment="1">
      <alignment horizontal="center" wrapText="1"/>
    </xf>
    <xf numFmtId="170" fontId="6" fillId="0" borderId="11" xfId="4" applyNumberFormat="1" applyFont="1" applyBorder="1" applyAlignment="1">
      <alignment horizontal="center" wrapText="1"/>
    </xf>
    <xf numFmtId="5" fontId="6" fillId="0" borderId="0" xfId="4" applyNumberFormat="1" applyFont="1" applyAlignment="1">
      <alignment horizontal="center" wrapText="1"/>
    </xf>
    <xf numFmtId="5" fontId="1" fillId="0" borderId="0" xfId="4" applyNumberFormat="1" applyAlignment="1">
      <alignment horizontal="center" wrapText="1"/>
    </xf>
    <xf numFmtId="169" fontId="1" fillId="0" borderId="0" xfId="4" applyNumberFormat="1" applyAlignment="1">
      <alignment horizontal="center" wrapText="1"/>
    </xf>
    <xf numFmtId="164" fontId="1" fillId="0" borderId="0" xfId="4" applyNumberFormat="1" applyAlignment="1">
      <alignment horizontal="center" wrapText="1"/>
    </xf>
    <xf numFmtId="0" fontId="1" fillId="0" borderId="0" xfId="4" applyAlignment="1">
      <alignment horizontal="center" wrapText="1"/>
    </xf>
    <xf numFmtId="166" fontId="6" fillId="0" borderId="8" xfId="4" applyNumberFormat="1" applyFont="1" applyBorder="1" applyAlignment="1">
      <alignment horizontal="center" wrapText="1"/>
    </xf>
    <xf numFmtId="166" fontId="6" fillId="0" borderId="9" xfId="4" applyNumberFormat="1" applyFont="1" applyBorder="1" applyAlignment="1">
      <alignment horizontal="center" wrapText="1"/>
    </xf>
    <xf numFmtId="164" fontId="5" fillId="0" borderId="0" xfId="4" applyNumberFormat="1" applyFont="1" applyAlignment="1">
      <alignment horizontal="center" wrapText="1"/>
    </xf>
    <xf numFmtId="0" fontId="5" fillId="0" borderId="0" xfId="4" applyFont="1" applyAlignment="1">
      <alignment horizontal="center" wrapText="1"/>
    </xf>
    <xf numFmtId="170" fontId="5" fillId="0" borderId="0" xfId="4" applyNumberFormat="1" applyFont="1" applyAlignment="1">
      <alignment horizontal="center" wrapText="1"/>
    </xf>
  </cellXfs>
  <cellStyles count="381">
    <cellStyle name="_x000a_386grabber=M" xfId="7"/>
    <cellStyle name="#" xfId="8"/>
    <cellStyle name="#-" xfId="9"/>
    <cellStyle name="$" xfId="10"/>
    <cellStyle name="$-" xfId="11"/>
    <cellStyle name="$0.00" xfId="12"/>
    <cellStyle name="%" xfId="13"/>
    <cellStyle name="%-" xfId="14"/>
    <cellStyle name="%_Hilding comps10.8.08v1" xfId="15"/>
    <cellStyle name="," xfId="16"/>
    <cellStyle name="[ercemt" xfId="17"/>
    <cellStyle name="\" xfId="18"/>
    <cellStyle name="_%(SignOnly)" xfId="19"/>
    <cellStyle name="_%(SignOnly)_WACC" xfId="20"/>
    <cellStyle name="_%(SignSpaceOnly)" xfId="21"/>
    <cellStyle name="_%(SignSpaceOnly)_WACC" xfId="22"/>
    <cellStyle name="_5jny0144" xfId="23"/>
    <cellStyle name="_5jny1296" xfId="24"/>
    <cellStyle name="_Chattem Mgmt Case v8" xfId="25"/>
    <cellStyle name="_Comma" xfId="26"/>
    <cellStyle name="_Comma_WACC" xfId="27"/>
    <cellStyle name="_Currency" xfId="28"/>
    <cellStyle name="_Currency_WACC" xfId="29"/>
    <cellStyle name="_Currency_Wholesale FA Op Model (2)" xfId="30"/>
    <cellStyle name="_Currency0" xfId="31"/>
    <cellStyle name="_CurrencySpace" xfId="32"/>
    <cellStyle name="_CurrencySpace_WACC" xfId="33"/>
    <cellStyle name="_CurrencySpace_Wholesale FA Op Model (2)" xfId="34"/>
    <cellStyle name="_Euro" xfId="35"/>
    <cellStyle name="_Euro_WACC" xfId="36"/>
    <cellStyle name="_Heading" xfId="37"/>
    <cellStyle name="_Heading_WACC" xfId="38"/>
    <cellStyle name="_Highlight" xfId="39"/>
    <cellStyle name="_Multiple" xfId="40"/>
    <cellStyle name="_Multiple_WACC" xfId="41"/>
    <cellStyle name="_Multiple_Wholesale FA Op Model (2)" xfId="42"/>
    <cellStyle name="_MultipleSpace" xfId="43"/>
    <cellStyle name="_Number0" xfId="44"/>
    <cellStyle name="_Percent" xfId="45"/>
    <cellStyle name="_Project Cup model 6-21-04" xfId="46"/>
    <cellStyle name="_RowHead" xfId="47"/>
    <cellStyle name="_SubHeading" xfId="48"/>
    <cellStyle name="_SubHeading_WACC" xfId="49"/>
    <cellStyle name="_SuperHead" xfId="50"/>
    <cellStyle name="_Table" xfId="51"/>
    <cellStyle name="_Table_WACC" xfId="52"/>
    <cellStyle name="_TableHead" xfId="53"/>
    <cellStyle name="_TableHead_WACC" xfId="54"/>
    <cellStyle name="_TableRowHead" xfId="55"/>
    <cellStyle name="_TableRowHead_WACC" xfId="56"/>
    <cellStyle name="_TableSuperHead" xfId="57"/>
    <cellStyle name="_TableSuperHead_Wholesale FA Op Model (2)" xfId="58"/>
    <cellStyle name="+/-" xfId="59"/>
    <cellStyle name="0.0 aligned" xfId="60"/>
    <cellStyle name="0.00 aligned" xfId="61"/>
    <cellStyle name="2-units" xfId="62"/>
    <cellStyle name="A" xfId="63"/>
    <cellStyle name="A_Normal" xfId="64"/>
    <cellStyle name="A_YearHeadings" xfId="65"/>
    <cellStyle name="Accounting" xfId="66"/>
    <cellStyle name="Accounting [0]" xfId="67"/>
    <cellStyle name="Accounting [1]" xfId="68"/>
    <cellStyle name="Accounting[0]" xfId="69"/>
    <cellStyle name="AFE" xfId="1"/>
    <cellStyle name="Agara" xfId="70"/>
    <cellStyle name="Alert" xfId="71"/>
    <cellStyle name="Arial 10" xfId="72"/>
    <cellStyle name="Arial 12" xfId="73"/>
    <cellStyle name="Array" xfId="74"/>
    <cellStyle name="Array Enter" xfId="75"/>
    <cellStyle name="A-Título" xfId="76"/>
    <cellStyle name="b" xfId="77"/>
    <cellStyle name="b." xfId="78"/>
    <cellStyle name="b_BSY_Emory_PGTV comps 02_18_03" xfId="79"/>
    <cellStyle name="b_CoreCableSatellite_comps_Media v.2" xfId="80"/>
    <cellStyle name="b_WACC" xfId="81"/>
    <cellStyle name="Blank [$]" xfId="82"/>
    <cellStyle name="Blank [,]" xfId="83"/>
    <cellStyle name="Blank [1%]" xfId="84"/>
    <cellStyle name="Blank [2%]" xfId="85"/>
    <cellStyle name="Blue" xfId="86"/>
    <cellStyle name="blue$00" xfId="87"/>
    <cellStyle name="Boolean" xfId="88"/>
    <cellStyle name="Border Heavy" xfId="89"/>
    <cellStyle name="Border Thin" xfId="90"/>
    <cellStyle name="British Pound" xfId="91"/>
    <cellStyle name="B-Título" xfId="92"/>
    <cellStyle name="bullet" xfId="93"/>
    <cellStyle name="Case" xfId="94"/>
    <cellStyle name="CenterHead" xfId="95"/>
    <cellStyle name="ChartingText" xfId="96"/>
    <cellStyle name="ColHeader" xfId="97"/>
    <cellStyle name="column1Big" xfId="98"/>
    <cellStyle name="column1Date" xfId="99"/>
    <cellStyle name="ColumnHeaderNormal" xfId="100"/>
    <cellStyle name="Comma  - Style1" xfId="101"/>
    <cellStyle name="Comma  - Style2" xfId="102"/>
    <cellStyle name="Comma  - Style3" xfId="103"/>
    <cellStyle name="Comma  - Style4" xfId="104"/>
    <cellStyle name="Comma  - Style5" xfId="105"/>
    <cellStyle name="Comma  - Style6" xfId="106"/>
    <cellStyle name="Comma  - Style7" xfId="107"/>
    <cellStyle name="Comma  - Style8" xfId="108"/>
    <cellStyle name="Comma (1)_cedar model v2" xfId="109"/>
    <cellStyle name="comma [1]" xfId="110"/>
    <cellStyle name="Comma 0" xfId="111"/>
    <cellStyle name="Comma 0*" xfId="112"/>
    <cellStyle name="Comma 2" xfId="3"/>
    <cellStyle name="Comma 2 2" xfId="113"/>
    <cellStyle name="Comma 2*" xfId="114"/>
    <cellStyle name="Comma 3" xfId="115"/>
    <cellStyle name="Comma 3*" xfId="116"/>
    <cellStyle name="Comma 4" xfId="117"/>
    <cellStyle name="Comma 5" xfId="118"/>
    <cellStyle name="Comma, 0 Dec, Parens, Zero -" xfId="119"/>
    <cellStyle name="Comma0" xfId="120"/>
    <cellStyle name="comma3" xfId="121"/>
    <cellStyle name="comps" xfId="122"/>
    <cellStyle name="COVERAGE" xfId="123"/>
    <cellStyle name="Currency (no dec.)" xfId="124"/>
    <cellStyle name="Currency [00]" xfId="125"/>
    <cellStyle name="Currency [1]" xfId="126"/>
    <cellStyle name="Currency 0" xfId="127"/>
    <cellStyle name="Currency 1" xfId="128"/>
    <cellStyle name="Currency 2" xfId="129"/>
    <cellStyle name="Currency 2*" xfId="130"/>
    <cellStyle name="Currency 2_Hilding comps10.8.08v1" xfId="131"/>
    <cellStyle name="Currency 3*" xfId="132"/>
    <cellStyle name="Currency0" xfId="133"/>
    <cellStyle name="currnecy" xfId="134"/>
    <cellStyle name="d" xfId="135"/>
    <cellStyle name="dash" xfId="136"/>
    <cellStyle name="Date" xfId="137"/>
    <cellStyle name="Date [D-M-Y]" xfId="138"/>
    <cellStyle name="Date [M-Y]" xfId="139"/>
    <cellStyle name="Date Aligned" xfId="140"/>
    <cellStyle name="Date_Chattem Mgmt Case v8" xfId="141"/>
    <cellStyle name="date2" xfId="142"/>
    <cellStyle name="Day-Mon-Yr" xfId="143"/>
    <cellStyle name="days" xfId="144"/>
    <cellStyle name="Decimal Number" xfId="145"/>
    <cellStyle name="dollar_no dec_elev" xfId="146"/>
    <cellStyle name="Dotted Line" xfId="147"/>
    <cellStyle name="Double Accounting" xfId="148"/>
    <cellStyle name="DropDown" xfId="149"/>
    <cellStyle name="Euro" xfId="150"/>
    <cellStyle name="Euro-" xfId="151"/>
    <cellStyle name="Euro_Preliminary Financing Case" xfId="152"/>
    <cellStyle name="ex_ratio" xfId="153"/>
    <cellStyle name="Fixed" xfId="154"/>
    <cellStyle name="Font_Actual" xfId="155"/>
    <cellStyle name="Footnote" xfId="156"/>
    <cellStyle name="Form_Std" xfId="157"/>
    <cellStyle name="Gilsans" xfId="158"/>
    <cellStyle name="Gilsansl" xfId="159"/>
    <cellStyle name="Grey" xfId="160"/>
    <cellStyle name="hard no." xfId="161"/>
    <cellStyle name="Hard Percent" xfId="162"/>
    <cellStyle name="Hardcode" xfId="163"/>
    <cellStyle name="Header" xfId="164"/>
    <cellStyle name="Header1" xfId="165"/>
    <cellStyle name="Header2" xfId="166"/>
    <cellStyle name="Heading 1 2" xfId="167"/>
    <cellStyle name="Heading 1 3" xfId="168"/>
    <cellStyle name="Heading 2 2" xfId="169"/>
    <cellStyle name="Heading 2 3" xfId="170"/>
    <cellStyle name="Heading 3 2" xfId="171"/>
    <cellStyle name="Heading 3 3" xfId="172"/>
    <cellStyle name="Heading1" xfId="173"/>
    <cellStyle name="Heading2" xfId="174"/>
    <cellStyle name="HeadingS" xfId="175"/>
    <cellStyle name="Hidden" xfId="176"/>
    <cellStyle name="Highlight" xfId="177"/>
    <cellStyle name="Input [yellow]" xfId="178"/>
    <cellStyle name="Input 2" xfId="179"/>
    <cellStyle name="Input 3" xfId="180"/>
    <cellStyle name="Invisible" xfId="181"/>
    <cellStyle name="Left Line" xfId="182"/>
    <cellStyle name="Leftborder" xfId="183"/>
    <cellStyle name="leftStyle" xfId="184"/>
    <cellStyle name="m" xfId="185"/>
    <cellStyle name="m_WACC" xfId="186"/>
    <cellStyle name="MacroCode" xfId="187"/>
    <cellStyle name="Map Labels" xfId="188"/>
    <cellStyle name="Map Legend" xfId="189"/>
    <cellStyle name="Map Title" xfId="190"/>
    <cellStyle name="Mike" xfId="191"/>
    <cellStyle name="millions" xfId="192"/>
    <cellStyle name="millions ($)" xfId="193"/>
    <cellStyle name="millions (no dec.)" xfId="194"/>
    <cellStyle name="millions_EutelSat.(2.18.01)" xfId="195"/>
    <cellStyle name="Mine" xfId="196"/>
    <cellStyle name="Mon-Yr" xfId="197"/>
    <cellStyle name="mult" xfId="198"/>
    <cellStyle name="multiple" xfId="199"/>
    <cellStyle name="n" xfId="200"/>
    <cellStyle name="N/A" xfId="201"/>
    <cellStyle name="NewColumnHeaderNormal" xfId="202"/>
    <cellStyle name="NewSectionHeaderNormal" xfId="203"/>
    <cellStyle name="NewTitleNormal" xfId="204"/>
    <cellStyle name="NO" xfId="205"/>
    <cellStyle name="no dec" xfId="206"/>
    <cellStyle name="nomral" xfId="207"/>
    <cellStyle name="norma" xfId="208"/>
    <cellStyle name="normail" xfId="209"/>
    <cellStyle name="Normal" xfId="0" builtinId="0"/>
    <cellStyle name="normal'" xfId="210"/>
    <cellStyle name="Normal - Style1" xfId="211"/>
    <cellStyle name="Normal 2" xfId="4"/>
    <cellStyle name="Normal 2 2" xfId="5"/>
    <cellStyle name="Normal 2 2 2" xfId="212"/>
    <cellStyle name="Normal 2 2 3" xfId="213"/>
    <cellStyle name="Normal 2 3" xfId="214"/>
    <cellStyle name="Normal 2 4" xfId="215"/>
    <cellStyle name="Normal 2 5" xfId="216"/>
    <cellStyle name="Normal 2 6" xfId="6"/>
    <cellStyle name="Normal 3" xfId="217"/>
    <cellStyle name="Normal 3 2" xfId="218"/>
    <cellStyle name="Normal 4" xfId="219"/>
    <cellStyle name="normal3" xfId="220"/>
    <cellStyle name="Note 2" xfId="221"/>
    <cellStyle name="Note 3" xfId="222"/>
    <cellStyle name="Notes" xfId="223"/>
    <cellStyle name="nromal" xfId="224"/>
    <cellStyle name="Num_Date" xfId="225"/>
    <cellStyle name="number" xfId="226"/>
    <cellStyle name="Numbers - Bold - Italic" xfId="227"/>
    <cellStyle name="numPStyle" xfId="228"/>
    <cellStyle name="of" xfId="229"/>
    <cellStyle name="one dec_ten" xfId="230"/>
    <cellStyle name="one_dec" xfId="231"/>
    <cellStyle name="OnOff" xfId="232"/>
    <cellStyle name="Output Amounts" xfId="233"/>
    <cellStyle name="Output Column Headings" xfId="234"/>
    <cellStyle name="Output Line Items" xfId="235"/>
    <cellStyle name="Output Report Heading" xfId="236"/>
    <cellStyle name="Output Report Title" xfId="237"/>
    <cellStyle name="p" xfId="238"/>
    <cellStyle name="Page Heading Large" xfId="239"/>
    <cellStyle name="Page Heading Small" xfId="240"/>
    <cellStyle name="Page Number" xfId="241"/>
    <cellStyle name="Pattern_Forecast" xfId="242"/>
    <cellStyle name="percemt" xfId="243"/>
    <cellStyle name="Percent [2]" xfId="244"/>
    <cellStyle name="Percent 2" xfId="2"/>
    <cellStyle name="Percent 2 2" xfId="245"/>
    <cellStyle name="Percent 2 3" xfId="246"/>
    <cellStyle name="Percent Decimal" xfId="247"/>
    <cellStyle name="Percent Hard" xfId="248"/>
    <cellStyle name="percnet" xfId="249"/>
    <cellStyle name="prcie" xfId="250"/>
    <cellStyle name="price" xfId="251"/>
    <cellStyle name="PSChar" xfId="252"/>
    <cellStyle name="PSDate" xfId="253"/>
    <cellStyle name="PSDec" xfId="254"/>
    <cellStyle name="PSHeading" xfId="255"/>
    <cellStyle name="PSInt" xfId="256"/>
    <cellStyle name="PSSpacer" xfId="257"/>
    <cellStyle name="Red" xfId="258"/>
    <cellStyle name="Red Text" xfId="259"/>
    <cellStyle name="RowHeader" xfId="260"/>
    <cellStyle name="s" xfId="261"/>
    <cellStyle name="SectionHeaderNormal" xfId="262"/>
    <cellStyle name="Separador de milhares [0]_Assumption" xfId="263"/>
    <cellStyle name="Shaded" xfId="264"/>
    <cellStyle name="share" xfId="265"/>
    <cellStyle name="SheetSubtitle1" xfId="266"/>
    <cellStyle name="SheetSubtitle2" xfId="267"/>
    <cellStyle name="SheetSubtitle3" xfId="268"/>
    <cellStyle name="SheetSubtitle3a" xfId="269"/>
    <cellStyle name="SheetSubtitle4" xfId="270"/>
    <cellStyle name="SheetSubtitle4a" xfId="271"/>
    <cellStyle name="SheetSubtitle5" xfId="272"/>
    <cellStyle name="SheetTitle" xfId="273"/>
    <cellStyle name="Single Accounting" xfId="274"/>
    <cellStyle name="Source" xfId="275"/>
    <cellStyle name="Style 1" xfId="276"/>
    <cellStyle name="Style 2" xfId="277"/>
    <cellStyle name="Style 21" xfId="278"/>
    <cellStyle name="Style 22" xfId="279"/>
    <cellStyle name="Style 23" xfId="280"/>
    <cellStyle name="Style 24" xfId="281"/>
    <cellStyle name="Style 25" xfId="282"/>
    <cellStyle name="Style 26" xfId="283"/>
    <cellStyle name="Style 27" xfId="284"/>
    <cellStyle name="Style 28" xfId="285"/>
    <cellStyle name="Style 3" xfId="286"/>
    <cellStyle name="SubScript" xfId="287"/>
    <cellStyle name="SuperScript" xfId="288"/>
    <cellStyle name="Table Col Head" xfId="289"/>
    <cellStyle name="Table Head" xfId="290"/>
    <cellStyle name="Table Head Aligned" xfId="291"/>
    <cellStyle name="Table Head Blue" xfId="292"/>
    <cellStyle name="Table Head Green" xfId="293"/>
    <cellStyle name="Table Sub Head" xfId="294"/>
    <cellStyle name="Table Title" xfId="295"/>
    <cellStyle name="Table Units" xfId="296"/>
    <cellStyle name="Text" xfId="297"/>
    <cellStyle name="TextBold" xfId="298"/>
    <cellStyle name="TextItalic" xfId="299"/>
    <cellStyle name="TextNormal" xfId="300"/>
    <cellStyle name="þ´Ì_x0010__x000c__x0010__x0009_à_x000c__x0003__x0009_ß_x0007_ÜÉ_x0009__x0007__x0001__x0001_" xfId="301"/>
    <cellStyle name="Theirs" xfId="302"/>
    <cellStyle name="Times 10" xfId="303"/>
    <cellStyle name="Times 12" xfId="304"/>
    <cellStyle name="Times New Roman" xfId="305"/>
    <cellStyle name="Title 2" xfId="306"/>
    <cellStyle name="Title 3" xfId="307"/>
    <cellStyle name="TitleNormal" xfId="308"/>
    <cellStyle name="TopGrey" xfId="309"/>
    <cellStyle name="Total 2" xfId="310"/>
    <cellStyle name="Total 3" xfId="311"/>
    <cellStyle name="twelv_dollar_no dec_elev" xfId="312"/>
    <cellStyle name="twelve_no dec_elev" xfId="313"/>
    <cellStyle name="Under Line" xfId="314"/>
    <cellStyle name="Val_Std" xfId="315"/>
    <cellStyle name="Währung_Berechnung_Synergien_BH_Model_BH_2K07_Book8_AccDilv2.xls Chart 1" xfId="316"/>
    <cellStyle name="x" xfId="317"/>
    <cellStyle name="x [1]" xfId="318"/>
    <cellStyle name="x_ASTEC4BK" xfId="319"/>
    <cellStyle name="x_ASTEC4BK_1" xfId="320"/>
    <cellStyle name="x_ASTEC4BK_2" xfId="321"/>
    <cellStyle name="x_ASTEC4BK_2_PENT10BK.XLS Chart 1" xfId="322"/>
    <cellStyle name="x_ASTEC4BK_2_PENT10BK.XLS Chart 1_1" xfId="323"/>
    <cellStyle name="x_ASTEC4BK_2_PENT10BK.XLS Chart 1-1" xfId="324"/>
    <cellStyle name="x_ASTEC4BK_2_PENT10BK.XLS Chart 1-10" xfId="325"/>
    <cellStyle name="x_ASTEC4BK_2_PENT10BK.XLS Chart 1-11" xfId="326"/>
    <cellStyle name="x_ASTEC4BK_2_PENT10BK.XLS Chart 1-2" xfId="327"/>
    <cellStyle name="x_ASTEC4BK_2_PENT10BK.XLS Chart 1-3" xfId="328"/>
    <cellStyle name="x_ASTEC4BK_2_PENT10BK.XLS Chart 1-4" xfId="329"/>
    <cellStyle name="x_ASTEC4BK_2_PENT10BK.XLS Chart 1-5" xfId="330"/>
    <cellStyle name="x_ASTEC4BK_2_PENT10BK.XLS Chart 1-6" xfId="331"/>
    <cellStyle name="x_ASTEC4BK_2_PENT10BK.XLS Chart 1-7" xfId="332"/>
    <cellStyle name="x_ASTEC4BK_2_PENT10BK.XLS Chart 1-8" xfId="333"/>
    <cellStyle name="x_ASTEC4BK_2_PENT10BK.XLS Chart 1-9" xfId="334"/>
    <cellStyle name="x_ASTEC4BK_2_PENT10BK.XLS Chart 2" xfId="335"/>
    <cellStyle name="x_ASTEC4BK_2_PENT10BK.XLS Chart 2-1" xfId="336"/>
    <cellStyle name="x_ASTEC4BK_2_UDI4-BK" xfId="337"/>
    <cellStyle name="x_black5bk.xls Chart 1" xfId="338"/>
    <cellStyle name="x_BLACK5BK.XLS Chart 1-1" xfId="339"/>
    <cellStyle name="x_BLACK5BK.XLS Chart 1-2" xfId="340"/>
    <cellStyle name="x_UDI4-BK.xls Chart 1" xfId="341"/>
    <cellStyle name="x_UDI4-BK.XLS Chart 1_1" xfId="342"/>
    <cellStyle name="x_UDI4-BK.XLS Chart 1_1_PENT10BK.XLS Chart 1" xfId="343"/>
    <cellStyle name="x_UDI4-BK.XLS Chart 1_1_PENT10BK.XLS Chart 1_1" xfId="344"/>
    <cellStyle name="x_UDI4-BK.XLS Chart 1_1_PENT10BK.XLS Chart 1-1" xfId="345"/>
    <cellStyle name="x_UDI4-BK.XLS Chart 1_1_PENT10BK.XLS Chart 1-10" xfId="346"/>
    <cellStyle name="x_UDI4-BK.XLS Chart 1_1_PENT10BK.XLS Chart 1-11" xfId="347"/>
    <cellStyle name="x_UDI4-BK.XLS Chart 1_1_PENT10BK.XLS Chart 1-2" xfId="348"/>
    <cellStyle name="x_UDI4-BK.XLS Chart 1_1_PENT10BK.XLS Chart 1-3" xfId="349"/>
    <cellStyle name="x_UDI4-BK.XLS Chart 1_1_PENT10BK.XLS Chart 1-4" xfId="350"/>
    <cellStyle name="x_UDI4-BK.XLS Chart 1_1_PENT10BK.XLS Chart 1-5" xfId="351"/>
    <cellStyle name="x_UDI4-BK.XLS Chart 1_1_PENT10BK.XLS Chart 1-6" xfId="352"/>
    <cellStyle name="x_UDI4-BK.XLS Chart 1_1_PENT10BK.XLS Chart 1-7" xfId="353"/>
    <cellStyle name="x_UDI4-BK.XLS Chart 1_1_PENT10BK.XLS Chart 1-8" xfId="354"/>
    <cellStyle name="x_UDI4-BK.XLS Chart 1_1_PENT10BK.XLS Chart 1-9" xfId="355"/>
    <cellStyle name="x_UDI4-BK.XLS Chart 1_1_PENT10BK.XLS Chart 2" xfId="356"/>
    <cellStyle name="x_UDI4-BK.XLS Chart 1_1_PENT10BK.XLS Chart 2-1" xfId="357"/>
    <cellStyle name="x_UDI4-BK.XLS Chart 1_1_UDI4-BK" xfId="358"/>
    <cellStyle name="x_UDI4-BK.XLS Chart 1-1" xfId="359"/>
    <cellStyle name="x_UDI4-BK.XLS Chart 1-1_PENT10BK.XLS Chart 1" xfId="360"/>
    <cellStyle name="x_UDI4-BK.XLS Chart 1-1_PENT10BK.XLS Chart 1_1" xfId="361"/>
    <cellStyle name="x_UDI4-BK.XLS Chart 1-1_PENT10BK.XLS Chart 1-1" xfId="362"/>
    <cellStyle name="x_UDI4-BK.XLS Chart 1-1_PENT10BK.XLS Chart 1-10" xfId="363"/>
    <cellStyle name="x_UDI4-BK.XLS Chart 1-1_PENT10BK.XLS Chart 1-11" xfId="364"/>
    <cellStyle name="x_UDI4-BK.XLS Chart 1-1_PENT10BK.XLS Chart 1-2" xfId="365"/>
    <cellStyle name="x_UDI4-BK.XLS Chart 1-1_PENT10BK.XLS Chart 1-3" xfId="366"/>
    <cellStyle name="x_UDI4-BK.XLS Chart 1-1_PENT10BK.XLS Chart 1-4" xfId="367"/>
    <cellStyle name="x_UDI4-BK.XLS Chart 1-1_PENT10BK.XLS Chart 1-5" xfId="368"/>
    <cellStyle name="x_UDI4-BK.XLS Chart 1-1_PENT10BK.XLS Chart 1-6" xfId="369"/>
    <cellStyle name="x_UDI4-BK.XLS Chart 1-1_PENT10BK.XLS Chart 1-7" xfId="370"/>
    <cellStyle name="x_UDI4-BK.XLS Chart 1-1_PENT10BK.XLS Chart 1-8" xfId="371"/>
    <cellStyle name="x_UDI4-BK.XLS Chart 1-1_PENT10BK.XLS Chart 1-9" xfId="372"/>
    <cellStyle name="x_UDI4-BK.XLS Chart 1-1_PENT10BK.XLS Chart 2" xfId="373"/>
    <cellStyle name="x_UDI4-BK.XLS Chart 1-1_PENT10BK.XLS Chart 2-1" xfId="374"/>
    <cellStyle name="x_UDI4-BK.XLS Chart 1-1_UDI4-BK" xfId="375"/>
    <cellStyle name="Xman" xfId="376"/>
    <cellStyle name="YEAR" xfId="377"/>
    <cellStyle name="Yen" xfId="378"/>
    <cellStyle name="yn" xfId="379"/>
    <cellStyle name="標準_ARCQUOTATIONFORM226" xfId="380"/>
  </cellStyles>
  <dxfs count="0"/>
  <tableStyles count="0" defaultTableStyle="TableStyleMedium9" defaultPivotStyle="PivotStyleLight16"/>
  <colors>
    <mruColors>
      <color rgb="FF00008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575469</xdr:colOff>
      <xdr:row>22</xdr:row>
      <xdr:rowOff>19844</xdr:rowOff>
    </xdr:from>
    <xdr:to>
      <xdr:col>2</xdr:col>
      <xdr:colOff>2093119</xdr:colOff>
      <xdr:row>27</xdr:row>
      <xdr:rowOff>108743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8624C49-8B20-4A2A-8FB0-E6F36C21E326}"/>
            </a:ext>
          </a:extLst>
        </xdr:cNvPr>
        <xdr:cNvSpPr txBox="1"/>
      </xdr:nvSpPr>
      <xdr:spPr>
        <a:xfrm>
          <a:off x="575469" y="3671094"/>
          <a:ext cx="2814108" cy="981868"/>
        </a:xfrm>
        <a:prstGeom prst="rect">
          <a:avLst/>
        </a:prstGeom>
        <a:solidFill>
          <a:srgbClr val="FFFF00"/>
        </a:solidFill>
        <a:ln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 u="sng"/>
            <a:t>For customized</a:t>
          </a:r>
          <a:r>
            <a:rPr lang="en-US" sz="1400" b="1" u="sng" baseline="0"/>
            <a:t> outputs, with additional formulas  / schedules please reach out to support@novo34.com</a:t>
          </a:r>
          <a:endParaRPr lang="en-US" sz="1400" b="1" u="sng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49"/>
  <sheetViews>
    <sheetView view="pageBreakPreview" zoomScale="82" zoomScaleNormal="82" zoomScaleSheetLayoutView="82" workbookViewId="0">
      <selection activeCell="D17" sqref="D17"/>
    </sheetView>
  </sheetViews>
  <sheetFormatPr defaultColWidth="9.140625" defaultRowHeight="15"/>
  <cols>
    <col min="1" max="1" width="0.85546875" style="1" customWidth="1"/>
    <col min="2" max="2" width="50" style="1" bestFit="1" customWidth="1"/>
    <col min="3" max="3" width="0.85546875" style="1" customWidth="1"/>
    <col min="4" max="4" width="12.7109375" style="1" bestFit="1" customWidth="1"/>
    <col min="5" max="6" width="11" style="1" bestFit="1" customWidth="1"/>
    <col min="7" max="8" width="12" style="1" bestFit="1" customWidth="1"/>
    <col min="9" max="9" width="13" style="1" bestFit="1" customWidth="1"/>
    <col min="10" max="11" width="13.42578125" style="1" bestFit="1" customWidth="1"/>
    <col min="12" max="12" width="14" style="1" bestFit="1" customWidth="1"/>
    <col min="13" max="13" width="14.85546875" style="1" bestFit="1" customWidth="1"/>
    <col min="14" max="14" width="9.140625" style="1" customWidth="1"/>
    <col min="15" max="16384" width="9.140625" style="1"/>
  </cols>
  <sheetData>
    <row r="1" spans="2:13">
      <c r="B1" s="7"/>
    </row>
    <row r="3" spans="2:13">
      <c r="B3" s="8"/>
    </row>
    <row r="4" spans="2:13">
      <c r="D4" s="9" t="s">
        <v>0</v>
      </c>
      <c r="E4" s="9"/>
      <c r="F4" s="9"/>
      <c r="G4" s="9"/>
      <c r="H4" s="9"/>
      <c r="I4" s="9"/>
      <c r="J4" s="9"/>
      <c r="K4" s="9"/>
      <c r="L4" s="9"/>
      <c r="M4" s="9"/>
    </row>
    <row r="5" spans="2:13" ht="3" customHeight="1"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2:13">
      <c r="D6" s="11">
        <f>'Operating Model'!G5</f>
        <v>2018</v>
      </c>
      <c r="E6" s="11">
        <f>'Operating Model'!H5</f>
        <v>2019</v>
      </c>
      <c r="F6" s="11">
        <f>'Operating Model'!I5</f>
        <v>2020</v>
      </c>
      <c r="G6" s="11">
        <f>'Operating Model'!J5</f>
        <v>2021</v>
      </c>
      <c r="H6" s="11">
        <f>'Operating Model'!K5</f>
        <v>2022</v>
      </c>
      <c r="I6" s="11">
        <f>'Operating Model'!L5</f>
        <v>2023</v>
      </c>
      <c r="J6" s="11">
        <f>'Operating Model'!M5</f>
        <v>2024</v>
      </c>
      <c r="K6" s="11">
        <f>'Operating Model'!N5</f>
        <v>2025</v>
      </c>
      <c r="L6" s="11">
        <f>'Operating Model'!O5</f>
        <v>2026</v>
      </c>
      <c r="M6" s="11">
        <f>'Operating Model'!P5</f>
        <v>2027</v>
      </c>
    </row>
    <row r="7" spans="2:13" ht="3" customHeight="1">
      <c r="D7" s="12"/>
      <c r="E7" s="12"/>
      <c r="F7" s="12"/>
      <c r="G7" s="12"/>
      <c r="H7" s="12"/>
      <c r="I7" s="12"/>
      <c r="J7" s="12"/>
      <c r="K7" s="12"/>
      <c r="L7" s="12"/>
      <c r="M7" s="12"/>
    </row>
    <row r="8" spans="2:13">
      <c r="B8" s="1" t="s">
        <v>1</v>
      </c>
      <c r="D8" s="33">
        <f>'Operating Model'!G9</f>
        <v>7762.2408806670137</v>
      </c>
      <c r="E8" s="33">
        <f>'Operating Model'!H9</f>
        <v>7805.7239913846633</v>
      </c>
      <c r="F8" s="33">
        <f>'Operating Model'!I9</f>
        <v>7849.45068909565</v>
      </c>
      <c r="G8" s="33">
        <f>'Operating Model'!J9</f>
        <v>7893.4223383441004</v>
      </c>
      <c r="H8" s="33">
        <f>'Operating Model'!K9</f>
        <v>7937.6403113181477</v>
      </c>
      <c r="I8" s="33">
        <f>'Operating Model'!L9</f>
        <v>7982.1059878927535</v>
      </c>
      <c r="J8" s="33">
        <f>'Operating Model'!M9</f>
        <v>8026.8207556727666</v>
      </c>
      <c r="K8" s="33">
        <f>'Operating Model'!N9</f>
        <v>8071.7860100362268</v>
      </c>
      <c r="L8" s="33">
        <f>'Operating Model'!O9</f>
        <v>8117.003154177909</v>
      </c>
      <c r="M8" s="33">
        <f>'Operating Model'!P9</f>
        <v>8162.4735991531097</v>
      </c>
    </row>
    <row r="9" spans="2:13">
      <c r="B9" s="1" t="s">
        <v>2</v>
      </c>
      <c r="D9" s="32">
        <f>'Operating Model'!G24</f>
        <v>1555.6661021365298</v>
      </c>
      <c r="E9" s="32">
        <f>'Operating Model'!H24</f>
        <v>1564.3807507024324</v>
      </c>
      <c r="F9" s="32">
        <f>'Operating Model'!I24</f>
        <v>1573.1442176487853</v>
      </c>
      <c r="G9" s="32">
        <f>'Operating Model'!J24</f>
        <v>1581.9567764501007</v>
      </c>
      <c r="H9" s="32">
        <f>'Operating Model'!K24</f>
        <v>1590.818702112861</v>
      </c>
      <c r="I9" s="32">
        <f>'Operating Model'!L24</f>
        <v>1599.7302711841028</v>
      </c>
      <c r="J9" s="32">
        <f>'Operating Model'!M24</f>
        <v>1608.6917617600432</v>
      </c>
      <c r="K9" s="32">
        <f>'Operating Model'!N24</f>
        <v>1617.7034534947584</v>
      </c>
      <c r="L9" s="32">
        <f>'Operating Model'!O24</f>
        <v>1626.7656276089169</v>
      </c>
      <c r="M9" s="32">
        <f>'Operating Model'!P24</f>
        <v>1635.878566898544</v>
      </c>
    </row>
    <row r="10" spans="2:13">
      <c r="B10" s="1" t="s">
        <v>3</v>
      </c>
      <c r="D10" s="32">
        <f>'Operating Model'!G27</f>
        <v>269.50130276185507</v>
      </c>
      <c r="E10" s="32">
        <f>'Operating Model'!H27</f>
        <v>271.01101563558615</v>
      </c>
      <c r="F10" s="32">
        <f>'Operating Model'!I27</f>
        <v>272.52918573359682</v>
      </c>
      <c r="G10" s="32">
        <f>'Operating Model'!J27</f>
        <v>274.05586043220865</v>
      </c>
      <c r="H10" s="32">
        <f>'Operating Model'!K27</f>
        <v>275.59108737313943</v>
      </c>
      <c r="I10" s="32">
        <f>'Operating Model'!L27</f>
        <v>277.13491446499</v>
      </c>
      <c r="J10" s="32">
        <f>'Operating Model'!M27</f>
        <v>278.6873898847391</v>
      </c>
      <c r="K10" s="32">
        <f>'Operating Model'!N27</f>
        <v>280.24856207924711</v>
      </c>
      <c r="L10" s="32">
        <f>'Operating Model'!O27</f>
        <v>281.81847976676761</v>
      </c>
      <c r="M10" s="32">
        <f>'Operating Model'!P27</f>
        <v>283.39719193846781</v>
      </c>
    </row>
    <row r="11" spans="2:13">
      <c r="B11" s="1" t="s">
        <v>4</v>
      </c>
      <c r="D11" s="13">
        <f>D9-D10</f>
        <v>1286.1647993746747</v>
      </c>
      <c r="E11" s="13">
        <f t="shared" ref="E11:M11" si="0">E9-E10</f>
        <v>1293.3697350668463</v>
      </c>
      <c r="F11" s="13">
        <f t="shared" si="0"/>
        <v>1300.6150319151884</v>
      </c>
      <c r="G11" s="13">
        <f t="shared" si="0"/>
        <v>1307.9009160178921</v>
      </c>
      <c r="H11" s="13">
        <f t="shared" si="0"/>
        <v>1315.2276147397215</v>
      </c>
      <c r="I11" s="13">
        <f t="shared" si="0"/>
        <v>1322.5953567191127</v>
      </c>
      <c r="J11" s="13">
        <f t="shared" si="0"/>
        <v>1330.0043718753041</v>
      </c>
      <c r="K11" s="13">
        <f t="shared" si="0"/>
        <v>1337.4548914155112</v>
      </c>
      <c r="L11" s="13">
        <f t="shared" si="0"/>
        <v>1344.9471478421492</v>
      </c>
      <c r="M11" s="13">
        <f t="shared" si="0"/>
        <v>1352.4813749600762</v>
      </c>
    </row>
    <row r="12" spans="2:13">
      <c r="B12" s="1" t="str">
        <f>"Taxes @ 35%"</f>
        <v>Taxes @ 35%</v>
      </c>
      <c r="D12" s="32">
        <f>D11*0.35</f>
        <v>450.1576797811361</v>
      </c>
      <c r="E12" s="32">
        <f t="shared" ref="E12:M12" si="1">E11*0.35</f>
        <v>452.67940727339618</v>
      </c>
      <c r="F12" s="32">
        <f t="shared" si="1"/>
        <v>455.2152611703159</v>
      </c>
      <c r="G12" s="32">
        <f t="shared" si="1"/>
        <v>457.76532060626221</v>
      </c>
      <c r="H12" s="32">
        <f t="shared" si="1"/>
        <v>460.32966515890251</v>
      </c>
      <c r="I12" s="32">
        <f t="shared" si="1"/>
        <v>462.90837485168942</v>
      </c>
      <c r="J12" s="32">
        <f t="shared" si="1"/>
        <v>465.50153015635641</v>
      </c>
      <c r="K12" s="32">
        <f t="shared" si="1"/>
        <v>468.10921199542889</v>
      </c>
      <c r="L12" s="32">
        <f t="shared" si="1"/>
        <v>470.73150174475217</v>
      </c>
      <c r="M12" s="32">
        <f t="shared" si="1"/>
        <v>473.36848123602664</v>
      </c>
    </row>
    <row r="13" spans="2:13">
      <c r="B13" s="14" t="s">
        <v>5</v>
      </c>
      <c r="D13" s="28">
        <f>D11-D12</f>
        <v>836.00711959353862</v>
      </c>
      <c r="E13" s="29">
        <f t="shared" ref="E13:M13" si="2">E11-E12</f>
        <v>840.69032779345002</v>
      </c>
      <c r="F13" s="29">
        <f t="shared" si="2"/>
        <v>845.39977074487251</v>
      </c>
      <c r="G13" s="29">
        <f t="shared" si="2"/>
        <v>850.13559541162988</v>
      </c>
      <c r="H13" s="29">
        <f t="shared" si="2"/>
        <v>854.89794958081893</v>
      </c>
      <c r="I13" s="29">
        <f t="shared" si="2"/>
        <v>859.68698186742336</v>
      </c>
      <c r="J13" s="29">
        <f t="shared" si="2"/>
        <v>864.50284171894759</v>
      </c>
      <c r="K13" s="29">
        <f t="shared" si="2"/>
        <v>869.34567942008221</v>
      </c>
      <c r="L13" s="29">
        <f t="shared" si="2"/>
        <v>874.21564609739698</v>
      </c>
      <c r="M13" s="29">
        <f t="shared" si="2"/>
        <v>879.11289372404963</v>
      </c>
    </row>
    <row r="14" spans="2:13" ht="6" customHeight="1">
      <c r="C14" s="2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2:13">
      <c r="B15" s="1" t="s">
        <v>6</v>
      </c>
      <c r="D15" s="32">
        <f>D10</f>
        <v>269.50130276185507</v>
      </c>
      <c r="E15" s="32">
        <f t="shared" ref="E15:M15" si="3">E10</f>
        <v>271.01101563558615</v>
      </c>
      <c r="F15" s="32">
        <f t="shared" si="3"/>
        <v>272.52918573359682</v>
      </c>
      <c r="G15" s="32">
        <f t="shared" si="3"/>
        <v>274.05586043220865</v>
      </c>
      <c r="H15" s="32">
        <f t="shared" si="3"/>
        <v>275.59108737313943</v>
      </c>
      <c r="I15" s="32">
        <f t="shared" si="3"/>
        <v>277.13491446499</v>
      </c>
      <c r="J15" s="32">
        <f t="shared" si="3"/>
        <v>278.6873898847391</v>
      </c>
      <c r="K15" s="32">
        <f t="shared" si="3"/>
        <v>280.24856207924711</v>
      </c>
      <c r="L15" s="32">
        <f t="shared" si="3"/>
        <v>281.81847976676761</v>
      </c>
      <c r="M15" s="32">
        <f t="shared" si="3"/>
        <v>283.39719193846781</v>
      </c>
    </row>
    <row r="16" spans="2:13">
      <c r="B16" s="1" t="s">
        <v>7</v>
      </c>
      <c r="D16" s="32">
        <f>'Operating Model'!G47</f>
        <v>-273.52371026576338</v>
      </c>
      <c r="E16" s="32">
        <f>'Operating Model'!H47</f>
        <v>-275.05595616746058</v>
      </c>
      <c r="F16" s="32">
        <f>'Operating Model'!I47</f>
        <v>-276.59678552066543</v>
      </c>
      <c r="G16" s="32">
        <f>'Operating Model'!J47</f>
        <v>-278.14624640880879</v>
      </c>
      <c r="H16" s="32">
        <f>'Operating Model'!K47</f>
        <v>-279.70438718467886</v>
      </c>
      <c r="I16" s="32">
        <f>'Operating Model'!L47</f>
        <v>-281.27125647193014</v>
      </c>
      <c r="J16" s="32">
        <f>'Operating Model'!M47</f>
        <v>-282.8469031666009</v>
      </c>
      <c r="K16" s="32">
        <f>'Operating Model'!N47</f>
        <v>-284.43137643863889</v>
      </c>
      <c r="L16" s="32">
        <f>'Operating Model'!O47</f>
        <v>-286.02472573343584</v>
      </c>
      <c r="M16" s="32">
        <f>'Operating Model'!P47</f>
        <v>-287.62700077337036</v>
      </c>
    </row>
    <row r="17" spans="2:13">
      <c r="B17" s="15" t="s">
        <v>8</v>
      </c>
      <c r="D17" s="32">
        <f>-'Working Capital'!F24</f>
        <v>-0.82347576862935057</v>
      </c>
      <c r="E17" s="32">
        <f>-'Working Capital'!G24</f>
        <v>-0.82808877775551082</v>
      </c>
      <c r="F17" s="32">
        <f>-'Working Capital'!H24</f>
        <v>-0.83272762838646486</v>
      </c>
      <c r="G17" s="32">
        <f>-'Working Capital'!I24</f>
        <v>-0.83739246528352851</v>
      </c>
      <c r="H17" s="32">
        <f>-'Working Capital'!J24</f>
        <v>-0.84208343401837737</v>
      </c>
      <c r="I17" s="32">
        <f>-'Working Capital'!K24</f>
        <v>-0.84680068097782168</v>
      </c>
      <c r="J17" s="32">
        <f>-'Working Capital'!L24</f>
        <v>-0.85154435336949064</v>
      </c>
      <c r="K17" s="32">
        <f>-'Working Capital'!M24</f>
        <v>-0.85631459922637987</v>
      </c>
      <c r="L17" s="32">
        <f>-'Working Capital'!N24</f>
        <v>-0.86111156740867045</v>
      </c>
      <c r="M17" s="32">
        <f>-'Working Capital'!O24</f>
        <v>-0.86593540761168697</v>
      </c>
    </row>
    <row r="18" spans="2:13">
      <c r="B18" s="16" t="s">
        <v>9</v>
      </c>
      <c r="C18" s="17"/>
      <c r="D18" s="30">
        <f>D13+D15+D16+D17</f>
        <v>831.16123632100084</v>
      </c>
      <c r="E18" s="31">
        <f t="shared" ref="E18:M18" si="4">E13+E15+E16+E17</f>
        <v>835.81729848381997</v>
      </c>
      <c r="F18" s="31">
        <f t="shared" si="4"/>
        <v>840.49944332941755</v>
      </c>
      <c r="G18" s="31">
        <f t="shared" si="4"/>
        <v>845.20781696974609</v>
      </c>
      <c r="H18" s="31">
        <f t="shared" si="4"/>
        <v>849.94256633526129</v>
      </c>
      <c r="I18" s="31">
        <f t="shared" si="4"/>
        <v>854.70383917950539</v>
      </c>
      <c r="J18" s="31">
        <f t="shared" si="4"/>
        <v>859.49178408371631</v>
      </c>
      <c r="K18" s="31">
        <f t="shared" si="4"/>
        <v>864.30655046146398</v>
      </c>
      <c r="L18" s="31">
        <f t="shared" si="4"/>
        <v>869.14828856332019</v>
      </c>
      <c r="M18" s="31">
        <f t="shared" si="4"/>
        <v>874.0171494815354</v>
      </c>
    </row>
    <row r="19" spans="2:13" ht="6" customHeight="1"/>
    <row r="20" spans="2:13">
      <c r="B20" s="6" t="s">
        <v>10</v>
      </c>
      <c r="D20" s="34">
        <f>'Balance Sheet'!E36-'Balance Sheet'!E9</f>
        <v>2600</v>
      </c>
    </row>
    <row r="21" spans="2:13" ht="6" customHeight="1"/>
    <row r="22" spans="2:13">
      <c r="B22" s="7"/>
      <c r="D22" s="9" t="s">
        <v>11</v>
      </c>
      <c r="E22" s="9"/>
      <c r="F22" s="9"/>
      <c r="G22" s="9"/>
      <c r="H22" s="9"/>
      <c r="I22" s="9"/>
      <c r="J22" s="9"/>
      <c r="K22" s="9"/>
      <c r="L22" s="9"/>
      <c r="M22" s="9"/>
    </row>
    <row r="23" spans="2:13" ht="3" customHeight="1">
      <c r="B23" s="7"/>
    </row>
    <row r="24" spans="2:13">
      <c r="D24" s="11">
        <f>D6</f>
        <v>2018</v>
      </c>
      <c r="E24" s="11">
        <f t="shared" ref="E24:M24" si="5">E6</f>
        <v>2019</v>
      </c>
      <c r="F24" s="11">
        <f t="shared" si="5"/>
        <v>2020</v>
      </c>
      <c r="G24" s="11">
        <f t="shared" si="5"/>
        <v>2021</v>
      </c>
      <c r="H24" s="11">
        <f t="shared" si="5"/>
        <v>2022</v>
      </c>
      <c r="I24" s="11">
        <f t="shared" si="5"/>
        <v>2023</v>
      </c>
      <c r="J24" s="11">
        <f t="shared" si="5"/>
        <v>2024</v>
      </c>
      <c r="K24" s="11">
        <f t="shared" si="5"/>
        <v>2025</v>
      </c>
      <c r="L24" s="11">
        <f t="shared" si="5"/>
        <v>2026</v>
      </c>
      <c r="M24" s="11">
        <f t="shared" si="5"/>
        <v>2027</v>
      </c>
    </row>
    <row r="25" spans="2:13" ht="3" customHeight="1">
      <c r="D25" s="18"/>
      <c r="E25" s="18"/>
      <c r="F25" s="18"/>
      <c r="G25" s="18"/>
      <c r="H25" s="18"/>
      <c r="I25" s="18"/>
      <c r="J25" s="18"/>
      <c r="K25" s="18"/>
      <c r="L25" s="18"/>
      <c r="M25" s="18"/>
    </row>
    <row r="26" spans="2:13">
      <c r="B26" s="1" t="s">
        <v>12</v>
      </c>
      <c r="D26" s="19">
        <v>1</v>
      </c>
      <c r="E26" s="19">
        <v>2</v>
      </c>
      <c r="F26" s="19">
        <v>3</v>
      </c>
      <c r="G26" s="19">
        <v>4</v>
      </c>
      <c r="H26" s="19">
        <v>5</v>
      </c>
      <c r="I26" s="19">
        <v>6</v>
      </c>
      <c r="J26" s="19">
        <v>7</v>
      </c>
      <c r="K26" s="19">
        <v>8</v>
      </c>
      <c r="L26" s="19">
        <v>9</v>
      </c>
      <c r="M26" s="19">
        <v>10</v>
      </c>
    </row>
    <row r="27" spans="2:13">
      <c r="B27" s="1" t="s">
        <v>13</v>
      </c>
      <c r="D27" s="20">
        <f>D26/2</f>
        <v>0.5</v>
      </c>
      <c r="E27" s="21">
        <f>D27+1</f>
        <v>1.5</v>
      </c>
      <c r="F27" s="21">
        <f t="shared" ref="F27:M27" si="6">E27+1</f>
        <v>2.5</v>
      </c>
      <c r="G27" s="21">
        <f t="shared" si="6"/>
        <v>3.5</v>
      </c>
      <c r="H27" s="21">
        <f t="shared" si="6"/>
        <v>4.5</v>
      </c>
      <c r="I27" s="21">
        <f t="shared" si="6"/>
        <v>5.5</v>
      </c>
      <c r="J27" s="21">
        <f t="shared" si="6"/>
        <v>6.5</v>
      </c>
      <c r="K27" s="21">
        <f t="shared" si="6"/>
        <v>7.5</v>
      </c>
      <c r="L27" s="21">
        <f t="shared" si="6"/>
        <v>8.5</v>
      </c>
      <c r="M27" s="21">
        <f t="shared" si="6"/>
        <v>9.5</v>
      </c>
    </row>
    <row r="28" spans="2:13">
      <c r="B28" s="1" t="s">
        <v>14</v>
      </c>
      <c r="D28" s="22">
        <v>5.5E-2</v>
      </c>
      <c r="E28" s="23">
        <f>D28</f>
        <v>5.5E-2</v>
      </c>
      <c r="F28" s="23">
        <f t="shared" ref="F28:M28" si="7">E28</f>
        <v>5.5E-2</v>
      </c>
      <c r="G28" s="23">
        <f t="shared" si="7"/>
        <v>5.5E-2</v>
      </c>
      <c r="H28" s="23">
        <f t="shared" si="7"/>
        <v>5.5E-2</v>
      </c>
      <c r="I28" s="23">
        <f t="shared" si="7"/>
        <v>5.5E-2</v>
      </c>
      <c r="J28" s="23">
        <f t="shared" si="7"/>
        <v>5.5E-2</v>
      </c>
      <c r="K28" s="23">
        <f t="shared" si="7"/>
        <v>5.5E-2</v>
      </c>
      <c r="L28" s="23">
        <f t="shared" si="7"/>
        <v>5.5E-2</v>
      </c>
      <c r="M28" s="23">
        <f t="shared" si="7"/>
        <v>5.5E-2</v>
      </c>
    </row>
    <row r="29" spans="2:13">
      <c r="B29" s="1" t="s">
        <v>15</v>
      </c>
      <c r="D29" s="21">
        <f t="shared" ref="D29:M29" si="8">1/((1+D28)^D27)</f>
        <v>0.97358476702247099</v>
      </c>
      <c r="E29" s="21">
        <f t="shared" si="8"/>
        <v>0.92282916305447504</v>
      </c>
      <c r="F29" s="21">
        <f t="shared" si="8"/>
        <v>0.87471958583362563</v>
      </c>
      <c r="G29" s="21">
        <f t="shared" si="8"/>
        <v>0.82911809083755983</v>
      </c>
      <c r="H29" s="21">
        <f t="shared" si="8"/>
        <v>0.78589392496451171</v>
      </c>
      <c r="I29" s="21">
        <f t="shared" si="8"/>
        <v>0.74492315162512968</v>
      </c>
      <c r="J29" s="21">
        <f t="shared" si="8"/>
        <v>0.70608829537926976</v>
      </c>
      <c r="K29" s="21">
        <f t="shared" si="8"/>
        <v>0.66927800509883406</v>
      </c>
      <c r="L29" s="21">
        <f t="shared" si="8"/>
        <v>0.63438673469083795</v>
      </c>
      <c r="M29" s="21">
        <f t="shared" si="8"/>
        <v>0.60131444046524929</v>
      </c>
    </row>
    <row r="30" spans="2:13">
      <c r="B30" s="1" t="s">
        <v>9</v>
      </c>
      <c r="D30" s="24">
        <f>D18</f>
        <v>831.16123632100084</v>
      </c>
      <c r="E30" s="24">
        <f t="shared" ref="E30:M30" si="9">E18</f>
        <v>835.81729848381997</v>
      </c>
      <c r="F30" s="24">
        <f t="shared" si="9"/>
        <v>840.49944332941755</v>
      </c>
      <c r="G30" s="24">
        <f t="shared" si="9"/>
        <v>845.20781696974609</v>
      </c>
      <c r="H30" s="24">
        <f t="shared" si="9"/>
        <v>849.94256633526129</v>
      </c>
      <c r="I30" s="24">
        <f t="shared" si="9"/>
        <v>854.70383917950539</v>
      </c>
      <c r="J30" s="24">
        <f t="shared" si="9"/>
        <v>859.49178408371631</v>
      </c>
      <c r="K30" s="24">
        <f t="shared" si="9"/>
        <v>864.30655046146398</v>
      </c>
      <c r="L30" s="24">
        <f t="shared" si="9"/>
        <v>869.14828856332019</v>
      </c>
      <c r="M30" s="24">
        <f t="shared" si="9"/>
        <v>874.0171494815354</v>
      </c>
    </row>
    <row r="31" spans="2:13">
      <c r="B31" s="16" t="s">
        <v>16</v>
      </c>
      <c r="C31" s="17"/>
      <c r="D31" s="30">
        <f t="shared" ref="D31:M31" si="10">D30*D29</f>
        <v>809.20591862169056</v>
      </c>
      <c r="E31" s="31">
        <f t="shared" si="10"/>
        <v>771.31657802627592</v>
      </c>
      <c r="F31" s="31">
        <f t="shared" si="10"/>
        <v>735.20132496250096</v>
      </c>
      <c r="G31" s="31">
        <f t="shared" si="10"/>
        <v>700.77709156693754</v>
      </c>
      <c r="H31" s="31">
        <f t="shared" si="10"/>
        <v>667.96469945162835</v>
      </c>
      <c r="I31" s="31">
        <f t="shared" si="10"/>
        <v>636.68867758769511</v>
      </c>
      <c r="J31" s="31">
        <f t="shared" si="10"/>
        <v>606.8770887161586</v>
      </c>
      <c r="K31" s="31">
        <f t="shared" si="10"/>
        <v>578.46136388670334</v>
      </c>
      <c r="L31" s="31">
        <f t="shared" si="10"/>
        <v>551.37614474381485</v>
      </c>
      <c r="M31" s="31">
        <f t="shared" si="10"/>
        <v>525.55913319752165</v>
      </c>
    </row>
    <row r="32" spans="2:13" ht="6" customHeight="1"/>
    <row r="33" spans="2:8">
      <c r="D33" s="9" t="s">
        <v>17</v>
      </c>
      <c r="E33" s="9"/>
      <c r="F33" s="9"/>
      <c r="G33" s="9"/>
      <c r="H33" s="9"/>
    </row>
    <row r="34" spans="2:8">
      <c r="D34" s="10"/>
      <c r="E34" s="10"/>
      <c r="F34" s="10"/>
      <c r="G34" s="10"/>
      <c r="H34" s="10"/>
    </row>
    <row r="35" spans="2:8">
      <c r="D35" s="172" t="s">
        <v>18</v>
      </c>
      <c r="E35" s="173"/>
      <c r="F35" s="10"/>
      <c r="G35" s="172" t="s">
        <v>19</v>
      </c>
      <c r="H35" s="173"/>
    </row>
    <row r="36" spans="2:8">
      <c r="D36" s="25"/>
      <c r="E36" s="25"/>
      <c r="F36" s="10"/>
      <c r="G36" s="25"/>
      <c r="H36" s="25"/>
    </row>
    <row r="37" spans="2:8">
      <c r="B37" s="1" t="s">
        <v>20</v>
      </c>
      <c r="D37" s="174">
        <v>0.02</v>
      </c>
      <c r="E37" s="175"/>
      <c r="G37" s="176">
        <v>10</v>
      </c>
      <c r="H37" s="176"/>
    </row>
    <row r="38" spans="2:8">
      <c r="B38" s="1" t="s">
        <v>21</v>
      </c>
      <c r="D38" s="168">
        <f>SUM(D31:M31)</f>
        <v>6583.4280207609263</v>
      </c>
      <c r="E38" s="168"/>
      <c r="G38" s="168">
        <f>SUM(D31:M31)</f>
        <v>6583.4280207609263</v>
      </c>
      <c r="H38" s="168"/>
    </row>
    <row r="39" spans="2:8">
      <c r="B39" s="1" t="s">
        <v>22</v>
      </c>
      <c r="D39" s="170">
        <f>D28</f>
        <v>5.5E-2</v>
      </c>
      <c r="E39" s="171"/>
      <c r="G39" s="170">
        <f>D39</f>
        <v>5.5E-2</v>
      </c>
      <c r="H39" s="171"/>
    </row>
    <row r="40" spans="2:8">
      <c r="B40" s="1" t="s">
        <v>23</v>
      </c>
      <c r="D40" s="168">
        <f>M18*(1+D37)/(D39-D37)</f>
        <v>25471.356927747602</v>
      </c>
      <c r="E40" s="168"/>
      <c r="G40" s="168">
        <f>G37*M9</f>
        <v>16358.78566898544</v>
      </c>
      <c r="H40" s="168"/>
    </row>
    <row r="41" spans="2:8">
      <c r="B41" s="1" t="s">
        <v>24</v>
      </c>
      <c r="D41" s="168">
        <f>D40/(1+D39)^COUNT(D24:M24)</f>
        <v>14911.711245018672</v>
      </c>
      <c r="E41" s="168"/>
      <c r="G41" s="168">
        <f>G40/(1+G39)^COUNT(D24:M24)</f>
        <v>9576.9333729261816</v>
      </c>
      <c r="H41" s="168"/>
    </row>
    <row r="42" spans="2:8">
      <c r="B42" s="6" t="s">
        <v>25</v>
      </c>
      <c r="C42" s="6"/>
      <c r="D42" s="167">
        <f>D41+D38</f>
        <v>21495.139265779599</v>
      </c>
      <c r="E42" s="167"/>
      <c r="F42" s="6"/>
      <c r="G42" s="167">
        <f>G41+G38</f>
        <v>16160.361393687108</v>
      </c>
      <c r="H42" s="167"/>
    </row>
    <row r="43" spans="2:8">
      <c r="B43" s="1" t="s">
        <v>26</v>
      </c>
      <c r="D43" s="168">
        <f>D20</f>
        <v>2600</v>
      </c>
      <c r="E43" s="168"/>
      <c r="G43" s="169">
        <f>D43</f>
        <v>2600</v>
      </c>
      <c r="H43" s="169"/>
    </row>
    <row r="44" spans="2:8">
      <c r="B44" s="1" t="s">
        <v>27</v>
      </c>
      <c r="D44" s="168">
        <f>D42-D43</f>
        <v>18895.139265779599</v>
      </c>
      <c r="E44" s="168"/>
      <c r="G44" s="168">
        <f>G42-G43</f>
        <v>13560.361393687108</v>
      </c>
      <c r="H44" s="168"/>
    </row>
    <row r="45" spans="2:8">
      <c r="D45" s="26"/>
      <c r="E45" s="26"/>
      <c r="G45" s="26"/>
      <c r="H45" s="26"/>
    </row>
    <row r="46" spans="2:8">
      <c r="B46" s="4" t="str">
        <f>"Implied "&amp;D6&amp;" EBITDA multiple"</f>
        <v>Implied 2018 EBITDA multiple</v>
      </c>
      <c r="D46" s="165">
        <f>D42/D9</f>
        <v>13.817321876627947</v>
      </c>
      <c r="E46" s="166"/>
      <c r="F46" s="6"/>
      <c r="G46" s="165">
        <f>G42/D9</f>
        <v>10.388065518360717</v>
      </c>
      <c r="H46" s="166"/>
    </row>
    <row r="47" spans="2:8">
      <c r="B47" s="4"/>
      <c r="D47" s="5"/>
      <c r="E47" s="5"/>
      <c r="F47" s="6"/>
      <c r="G47" s="5"/>
      <c r="H47" s="5"/>
    </row>
    <row r="48" spans="2:8">
      <c r="B48" s="27"/>
      <c r="D48" s="5"/>
      <c r="E48" s="5"/>
      <c r="F48" s="6"/>
      <c r="G48" s="5"/>
      <c r="H48" s="5"/>
    </row>
    <row r="49" spans="2:8">
      <c r="B49" s="27"/>
      <c r="D49" s="5"/>
      <c r="E49" s="5"/>
      <c r="F49" s="6"/>
      <c r="G49" s="5"/>
      <c r="H49" s="5"/>
    </row>
  </sheetData>
  <mergeCells count="20">
    <mergeCell ref="D35:E35"/>
    <mergeCell ref="G35:H35"/>
    <mergeCell ref="D37:E37"/>
    <mergeCell ref="G37:H37"/>
    <mergeCell ref="D38:E38"/>
    <mergeCell ref="G38:H38"/>
    <mergeCell ref="D39:E39"/>
    <mergeCell ref="G39:H39"/>
    <mergeCell ref="D40:E40"/>
    <mergeCell ref="G40:H40"/>
    <mergeCell ref="D41:E41"/>
    <mergeCell ref="G41:H41"/>
    <mergeCell ref="D46:E46"/>
    <mergeCell ref="G46:H46"/>
    <mergeCell ref="D42:E42"/>
    <mergeCell ref="G42:H42"/>
    <mergeCell ref="D43:E43"/>
    <mergeCell ref="G43:H43"/>
    <mergeCell ref="D44:E44"/>
    <mergeCell ref="G44:H44"/>
  </mergeCells>
  <pageMargins left="0.7" right="0.7" top="0.75" bottom="0.75" header="0.3" footer="0.3"/>
  <pageSetup scale="5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T186"/>
  <sheetViews>
    <sheetView view="pageBreakPreview" workbookViewId="0">
      <selection activeCell="P1" sqref="P1:T1048576"/>
    </sheetView>
  </sheetViews>
  <sheetFormatPr defaultColWidth="9.140625" defaultRowHeight="15"/>
  <cols>
    <col min="1" max="1" width="9.140625" style="88" customWidth="1"/>
    <col min="2" max="2" width="47.28515625" style="88" customWidth="1"/>
    <col min="3" max="13" width="12.28515625" style="88" customWidth="1"/>
    <col min="14" max="14" width="9"/>
    <col min="15" max="15" width="32" style="88" customWidth="1"/>
    <col min="16" max="20" width="11.7109375" style="88" customWidth="1"/>
    <col min="21" max="21" width="9.140625" style="88" customWidth="1"/>
    <col min="22" max="16384" width="9.140625" style="88"/>
  </cols>
  <sheetData>
    <row r="3" spans="2:20">
      <c r="B3" s="89" t="s">
        <v>28</v>
      </c>
      <c r="C3" s="90"/>
      <c r="D3" s="91"/>
      <c r="E3" s="91"/>
      <c r="F3" s="92" t="s">
        <v>29</v>
      </c>
      <c r="G3" s="92"/>
      <c r="H3" s="92"/>
      <c r="I3" s="90"/>
      <c r="J3" s="90"/>
      <c r="K3" s="90"/>
      <c r="L3" s="90"/>
      <c r="M3" s="93" t="s">
        <v>30</v>
      </c>
      <c r="N3" s="94"/>
      <c r="O3" s="95" t="s">
        <v>31</v>
      </c>
      <c r="P3" s="95"/>
      <c r="Q3" s="95"/>
      <c r="R3" s="96"/>
      <c r="S3" s="96"/>
      <c r="T3" s="96"/>
    </row>
    <row r="4" spans="2:20" ht="3" customHeight="1">
      <c r="B4" s="97"/>
      <c r="C4" s="94"/>
      <c r="D4" s="94"/>
      <c r="E4" s="94"/>
      <c r="F4" s="94"/>
      <c r="G4" s="94"/>
      <c r="H4" s="94"/>
      <c r="I4" s="98"/>
      <c r="J4" s="94"/>
      <c r="K4" s="94"/>
      <c r="L4" s="94"/>
      <c r="M4" s="99"/>
      <c r="N4" s="94"/>
      <c r="O4" s="94"/>
      <c r="P4" s="94"/>
      <c r="Q4" s="94"/>
      <c r="R4" s="100"/>
      <c r="S4" s="100"/>
      <c r="T4" s="100"/>
    </row>
    <row r="5" spans="2:20">
      <c r="B5" s="97"/>
      <c r="C5" s="101"/>
      <c r="D5" s="94"/>
      <c r="E5" s="94"/>
      <c r="F5" s="94" t="s">
        <v>32</v>
      </c>
      <c r="G5" s="94"/>
      <c r="H5" s="94"/>
      <c r="I5" s="102">
        <v>0</v>
      </c>
      <c r="J5" s="94" t="s">
        <v>33</v>
      </c>
      <c r="K5" s="94"/>
      <c r="L5" s="94"/>
      <c r="M5" s="103">
        <f>C13</f>
        <v>5135</v>
      </c>
      <c r="N5" s="94"/>
      <c r="O5" s="94"/>
      <c r="P5" s="104" t="s">
        <v>34</v>
      </c>
      <c r="Q5" s="104" t="s">
        <v>35</v>
      </c>
      <c r="R5" s="104" t="s">
        <v>36</v>
      </c>
      <c r="S5" s="104" t="s">
        <v>37</v>
      </c>
      <c r="T5" s="104" t="s">
        <v>38</v>
      </c>
    </row>
    <row r="6" spans="2:20">
      <c r="B6" s="97"/>
      <c r="C6" s="105"/>
      <c r="D6" s="94"/>
      <c r="E6" s="94"/>
      <c r="F6" s="94" t="s">
        <v>39</v>
      </c>
      <c r="G6" s="94"/>
      <c r="H6" s="94"/>
      <c r="I6" s="102">
        <v>100</v>
      </c>
      <c r="J6" s="94" t="s">
        <v>40</v>
      </c>
      <c r="K6" s="94"/>
      <c r="L6" s="94"/>
      <c r="M6" s="106">
        <f>SUM(P20:S20)</f>
        <v>0</v>
      </c>
      <c r="N6" s="94"/>
      <c r="O6" s="94" t="s">
        <v>41</v>
      </c>
      <c r="P6" s="107">
        <v>0</v>
      </c>
      <c r="Q6" s="107">
        <v>0</v>
      </c>
      <c r="R6" s="107">
        <v>0</v>
      </c>
      <c r="S6" s="107">
        <v>0</v>
      </c>
      <c r="T6" s="107">
        <v>0</v>
      </c>
    </row>
    <row r="7" spans="2:20">
      <c r="B7" s="97" t="s">
        <v>42</v>
      </c>
      <c r="C7" s="108">
        <f>C17*C18</f>
        <v>7735</v>
      </c>
      <c r="D7" s="94"/>
      <c r="E7" s="94"/>
      <c r="F7" s="94" t="s">
        <v>43</v>
      </c>
      <c r="G7" s="94"/>
      <c r="H7" s="94"/>
      <c r="I7" s="102">
        <v>100</v>
      </c>
      <c r="J7" s="94" t="s">
        <v>44</v>
      </c>
      <c r="K7" s="94"/>
      <c r="L7" s="94"/>
      <c r="M7" s="106">
        <v>100</v>
      </c>
      <c r="N7" s="94"/>
      <c r="O7" s="94" t="s">
        <v>45</v>
      </c>
      <c r="P7" s="109">
        <v>39630</v>
      </c>
      <c r="Q7" s="109">
        <v>39630</v>
      </c>
      <c r="R7" s="109">
        <v>39630</v>
      </c>
      <c r="S7" s="109">
        <v>39630</v>
      </c>
      <c r="T7" s="109">
        <v>39630</v>
      </c>
    </row>
    <row r="8" spans="2:20">
      <c r="B8" s="97"/>
      <c r="C8" s="105"/>
      <c r="D8" s="94"/>
      <c r="E8" s="94"/>
      <c r="F8" s="94" t="s">
        <v>46</v>
      </c>
      <c r="G8" s="94"/>
      <c r="H8" s="94"/>
      <c r="I8" s="102">
        <v>100</v>
      </c>
      <c r="J8" s="94" t="str">
        <f>'Balance Sheet'!C34</f>
        <v>Short-term borrowings</v>
      </c>
      <c r="K8" s="94"/>
      <c r="L8" s="94"/>
      <c r="M8" s="110">
        <f>'Balance Sheet'!E34</f>
        <v>657</v>
      </c>
      <c r="N8" s="94"/>
      <c r="O8" s="94" t="s">
        <v>47</v>
      </c>
      <c r="P8" s="109">
        <v>41456</v>
      </c>
      <c r="Q8" s="109">
        <v>41456</v>
      </c>
      <c r="R8" s="109">
        <v>41456</v>
      </c>
      <c r="S8" s="109">
        <v>41456</v>
      </c>
      <c r="T8" s="109">
        <v>41456</v>
      </c>
    </row>
    <row r="9" spans="2:20">
      <c r="B9" s="111" t="s">
        <v>48</v>
      </c>
      <c r="C9" s="112">
        <f>'Balance Sheet'!E36</f>
        <v>3084</v>
      </c>
      <c r="D9" s="94"/>
      <c r="E9" s="94"/>
      <c r="F9" s="94" t="s">
        <v>49</v>
      </c>
      <c r="G9" s="94"/>
      <c r="H9" s="94"/>
      <c r="I9" s="102">
        <v>100</v>
      </c>
      <c r="J9" s="94" t="str">
        <f>'Balance Sheet'!C35</f>
        <v>Long-term debt</v>
      </c>
      <c r="K9" s="94"/>
      <c r="L9" s="94"/>
      <c r="M9" s="113">
        <f>'Balance Sheet'!E35</f>
        <v>2427</v>
      </c>
      <c r="N9" s="94"/>
      <c r="O9" s="94" t="s">
        <v>50</v>
      </c>
      <c r="P9" s="114">
        <v>0</v>
      </c>
      <c r="Q9" s="114">
        <v>0</v>
      </c>
      <c r="R9" s="114">
        <v>0</v>
      </c>
      <c r="S9" s="114">
        <v>0</v>
      </c>
      <c r="T9" s="114">
        <v>0.05</v>
      </c>
    </row>
    <row r="10" spans="2:20">
      <c r="B10" s="111" t="s">
        <v>51</v>
      </c>
      <c r="C10" s="112">
        <f>'Balance Sheet'!E9</f>
        <v>484</v>
      </c>
      <c r="D10" s="94"/>
      <c r="E10" s="94"/>
      <c r="F10" s="94" t="s">
        <v>52</v>
      </c>
      <c r="G10" s="94"/>
      <c r="H10" s="94"/>
      <c r="I10" s="102">
        <v>100</v>
      </c>
      <c r="J10" s="94"/>
      <c r="K10" s="94"/>
      <c r="L10" s="94"/>
      <c r="M10" s="99"/>
      <c r="N10" s="94"/>
      <c r="O10" s="94" t="s">
        <v>53</v>
      </c>
      <c r="P10" s="105">
        <v>100</v>
      </c>
      <c r="Q10" s="105">
        <v>100</v>
      </c>
      <c r="R10" s="105">
        <v>100</v>
      </c>
      <c r="S10" s="105">
        <v>100</v>
      </c>
      <c r="T10" s="105">
        <v>98</v>
      </c>
    </row>
    <row r="11" spans="2:20">
      <c r="B11" s="115" t="s">
        <v>54</v>
      </c>
      <c r="C11" s="116">
        <f>C9-C10</f>
        <v>2600</v>
      </c>
      <c r="D11" s="94"/>
      <c r="E11" s="94"/>
      <c r="F11" s="94" t="s">
        <v>55</v>
      </c>
      <c r="G11" s="94"/>
      <c r="H11" s="94"/>
      <c r="I11" s="102">
        <v>100</v>
      </c>
      <c r="J11" s="94"/>
      <c r="K11" s="94"/>
      <c r="L11" s="94"/>
      <c r="M11" s="99"/>
      <c r="N11" s="94"/>
      <c r="O11" s="94" t="s">
        <v>56</v>
      </c>
      <c r="P11" s="105">
        <v>100</v>
      </c>
      <c r="Q11" s="105">
        <v>100</v>
      </c>
      <c r="R11" s="105">
        <v>100</v>
      </c>
      <c r="S11" s="105">
        <v>100</v>
      </c>
      <c r="T11" s="105">
        <v>100</v>
      </c>
    </row>
    <row r="12" spans="2:20">
      <c r="B12" s="97"/>
      <c r="C12" s="94"/>
      <c r="D12" s="94"/>
      <c r="E12" s="94"/>
      <c r="F12" s="94" t="s">
        <v>57</v>
      </c>
      <c r="G12" s="94"/>
      <c r="H12" s="94"/>
      <c r="I12" s="102">
        <v>100</v>
      </c>
      <c r="J12" s="94"/>
      <c r="K12" s="94"/>
      <c r="L12" s="94"/>
      <c r="M12" s="99"/>
      <c r="N12" s="94"/>
      <c r="O12" s="94" t="s">
        <v>58</v>
      </c>
      <c r="P12" s="117">
        <f>YIELD(P7,P8,P9,P10,P11,2)</f>
        <v>0</v>
      </c>
      <c r="Q12" s="117">
        <f t="shared" ref="Q12:T12" si="0">YIELD(Q7,Q8,Q9,Q10,Q11,2)</f>
        <v>0</v>
      </c>
      <c r="R12" s="117">
        <f t="shared" si="0"/>
        <v>0</v>
      </c>
      <c r="S12" s="117">
        <f t="shared" si="0"/>
        <v>0</v>
      </c>
      <c r="T12" s="117">
        <f t="shared" si="0"/>
        <v>5.4625133875792473E-2</v>
      </c>
    </row>
    <row r="13" spans="2:20">
      <c r="B13" s="115" t="s">
        <v>27</v>
      </c>
      <c r="C13" s="108">
        <f>C7-C11</f>
        <v>5135</v>
      </c>
      <c r="D13" s="94"/>
      <c r="E13" s="94"/>
      <c r="F13" s="94" t="s">
        <v>59</v>
      </c>
      <c r="G13" s="94"/>
      <c r="H13" s="94"/>
      <c r="I13" s="102">
        <v>100</v>
      </c>
      <c r="J13" s="94"/>
      <c r="K13" s="94"/>
      <c r="L13" s="94"/>
      <c r="M13" s="99"/>
      <c r="N13" s="94"/>
      <c r="O13" s="94" t="s">
        <v>60</v>
      </c>
      <c r="P13" s="118">
        <v>0</v>
      </c>
      <c r="Q13" s="118">
        <v>0</v>
      </c>
      <c r="R13" s="118">
        <v>0</v>
      </c>
      <c r="S13" s="118">
        <v>0</v>
      </c>
      <c r="T13" s="118">
        <v>8.9999999999999993E-3</v>
      </c>
    </row>
    <row r="14" spans="2:20">
      <c r="B14" s="97"/>
      <c r="C14" s="94"/>
      <c r="D14" s="94"/>
      <c r="E14" s="94"/>
      <c r="F14" s="94"/>
      <c r="G14" s="94"/>
      <c r="H14" s="94"/>
      <c r="I14" s="105"/>
      <c r="J14" s="94"/>
      <c r="K14" s="94"/>
      <c r="L14" s="94"/>
      <c r="M14" s="99"/>
      <c r="N14" s="94"/>
      <c r="O14" s="94" t="s">
        <v>61</v>
      </c>
      <c r="P14" s="118">
        <v>0</v>
      </c>
      <c r="Q14" s="118">
        <v>0</v>
      </c>
      <c r="R14" s="118">
        <v>0</v>
      </c>
      <c r="S14" s="118">
        <v>0</v>
      </c>
      <c r="T14" s="118">
        <v>2E-3</v>
      </c>
    </row>
    <row r="15" spans="2:20">
      <c r="B15" s="97"/>
      <c r="C15" s="94"/>
      <c r="D15" s="94"/>
      <c r="E15" s="94"/>
      <c r="F15" s="94" t="s">
        <v>62</v>
      </c>
      <c r="G15" s="94"/>
      <c r="H15" s="94"/>
      <c r="I15" s="108">
        <f>M15</f>
        <v>0</v>
      </c>
      <c r="J15" s="94" t="s">
        <v>63</v>
      </c>
      <c r="K15" s="94"/>
      <c r="L15" s="94"/>
      <c r="M15" s="106">
        <f>C9-SUM(M8:M10)</f>
        <v>0</v>
      </c>
      <c r="N15" s="94"/>
      <c r="O15" s="94" t="s">
        <v>64</v>
      </c>
      <c r="P15" s="117">
        <f>P12-P13</f>
        <v>0</v>
      </c>
      <c r="Q15" s="117">
        <f t="shared" ref="Q15:T15" si="1">Q12-Q13</f>
        <v>0</v>
      </c>
      <c r="R15" s="117">
        <f t="shared" si="1"/>
        <v>0</v>
      </c>
      <c r="S15" s="117">
        <f t="shared" si="1"/>
        <v>0</v>
      </c>
      <c r="T15" s="117">
        <f t="shared" si="1"/>
        <v>4.5625133875792472E-2</v>
      </c>
    </row>
    <row r="16" spans="2:20">
      <c r="B16" s="97"/>
      <c r="C16" s="94"/>
      <c r="D16" s="94"/>
      <c r="E16" s="94"/>
      <c r="F16" s="94" t="s">
        <v>65</v>
      </c>
      <c r="G16" s="94"/>
      <c r="H16" s="94"/>
      <c r="I16" s="108">
        <f>M17-I15-SUM(I5:I13)</f>
        <v>7519</v>
      </c>
      <c r="J16" s="94"/>
      <c r="K16" s="94"/>
      <c r="L16" s="94"/>
      <c r="M16" s="99"/>
      <c r="N16" s="94"/>
      <c r="O16" s="94" t="s">
        <v>40</v>
      </c>
      <c r="P16" s="117">
        <f>P15+P14</f>
        <v>0</v>
      </c>
      <c r="Q16" s="117">
        <f t="shared" ref="Q16:T16" si="2">Q15+Q14</f>
        <v>0</v>
      </c>
      <c r="R16" s="117">
        <f t="shared" si="2"/>
        <v>0</v>
      </c>
      <c r="S16" s="117">
        <f t="shared" si="2"/>
        <v>0</v>
      </c>
      <c r="T16" s="117">
        <f t="shared" si="2"/>
        <v>4.7625133875792473E-2</v>
      </c>
    </row>
    <row r="17" spans="2:20">
      <c r="B17" s="97" t="str">
        <f>'Operating Model'!F5&amp; " EBITDA"</f>
        <v>2017 EBITDA</v>
      </c>
      <c r="C17" s="119">
        <f>'Operating Model'!F24</f>
        <v>1547</v>
      </c>
      <c r="D17" s="94"/>
      <c r="E17" s="94"/>
      <c r="F17" s="120" t="s">
        <v>66</v>
      </c>
      <c r="G17" s="94"/>
      <c r="H17" s="94"/>
      <c r="I17" s="121">
        <f>SUM(I5:I16)</f>
        <v>8319</v>
      </c>
      <c r="J17" s="120" t="s">
        <v>67</v>
      </c>
      <c r="K17" s="94"/>
      <c r="L17" s="94"/>
      <c r="M17" s="122">
        <f>SUM(M5:M16)</f>
        <v>8319</v>
      </c>
      <c r="N17" s="94"/>
      <c r="O17" s="94" t="s">
        <v>68</v>
      </c>
      <c r="P17" s="117">
        <f>PRICE(P7,P8,P9,P16,P11,2,0)/100</f>
        <v>1</v>
      </c>
      <c r="Q17" s="117">
        <f t="shared" ref="Q17:T17" si="3">PRICE(Q7,Q8,Q9,Q16,Q11,2,0)/100</f>
        <v>1</v>
      </c>
      <c r="R17" s="117">
        <f t="shared" si="3"/>
        <v>1</v>
      </c>
      <c r="S17" s="117">
        <f t="shared" si="3"/>
        <v>1</v>
      </c>
      <c r="T17" s="117">
        <f t="shared" si="3"/>
        <v>1.01045654770395</v>
      </c>
    </row>
    <row r="18" spans="2:20">
      <c r="B18" s="115" t="s">
        <v>69</v>
      </c>
      <c r="C18" s="123">
        <v>5</v>
      </c>
      <c r="D18" s="94"/>
      <c r="E18" s="94"/>
      <c r="F18" s="94"/>
      <c r="G18" s="94"/>
      <c r="H18" s="94"/>
      <c r="I18" s="94"/>
      <c r="J18" s="94"/>
      <c r="K18" s="94"/>
      <c r="L18" s="94"/>
      <c r="M18" s="99"/>
      <c r="N18" s="94"/>
      <c r="O18" s="94" t="s">
        <v>70</v>
      </c>
      <c r="P18" s="124">
        <f>P10/100*P6</f>
        <v>0</v>
      </c>
      <c r="Q18" s="124">
        <f t="shared" ref="Q18:T18" si="4">Q10/100*Q6</f>
        <v>0</v>
      </c>
      <c r="R18" s="124">
        <f t="shared" si="4"/>
        <v>0</v>
      </c>
      <c r="S18" s="124">
        <f t="shared" si="4"/>
        <v>0</v>
      </c>
      <c r="T18" s="124">
        <f t="shared" si="4"/>
        <v>0</v>
      </c>
    </row>
    <row r="19" spans="2:20">
      <c r="B19" s="125"/>
      <c r="C19" s="126"/>
      <c r="D19" s="126"/>
      <c r="E19" s="126"/>
      <c r="F19" s="127" t="s">
        <v>71</v>
      </c>
      <c r="G19" s="126"/>
      <c r="H19" s="126"/>
      <c r="I19" s="127" t="str">
        <f>IF(I17-M17=0,"Okay","Sources &amp; Uses do not match")</f>
        <v>Okay</v>
      </c>
      <c r="J19" s="126"/>
      <c r="K19" s="126"/>
      <c r="L19" s="126"/>
      <c r="M19" s="128"/>
      <c r="N19" s="94"/>
      <c r="O19" s="94" t="s">
        <v>72</v>
      </c>
      <c r="P19" s="129">
        <f>P17*P6</f>
        <v>0</v>
      </c>
      <c r="Q19" s="129">
        <f t="shared" ref="Q19:T19" si="5">Q17*Q6</f>
        <v>0</v>
      </c>
      <c r="R19" s="129">
        <f t="shared" si="5"/>
        <v>0</v>
      </c>
      <c r="S19" s="129">
        <f t="shared" si="5"/>
        <v>0</v>
      </c>
      <c r="T19" s="129">
        <f t="shared" si="5"/>
        <v>0</v>
      </c>
    </row>
    <row r="20" spans="2:20">
      <c r="B20" s="94"/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 t="s">
        <v>73</v>
      </c>
      <c r="P20" s="129">
        <f>P19-P18</f>
        <v>0</v>
      </c>
      <c r="Q20" s="129">
        <f t="shared" ref="Q20:T20" si="6">Q19-Q18</f>
        <v>0</v>
      </c>
      <c r="R20" s="129">
        <f t="shared" si="6"/>
        <v>0</v>
      </c>
      <c r="S20" s="129">
        <f t="shared" si="6"/>
        <v>0</v>
      </c>
      <c r="T20" s="129">
        <f t="shared" si="6"/>
        <v>0</v>
      </c>
    </row>
    <row r="21" spans="2:20">
      <c r="B21" s="130" t="s">
        <v>74</v>
      </c>
      <c r="C21" s="131"/>
      <c r="D21" s="131"/>
      <c r="E21" s="131"/>
      <c r="F21" s="131"/>
      <c r="G21" s="131"/>
      <c r="H21" s="131"/>
      <c r="I21" s="131"/>
      <c r="J21" s="131"/>
      <c r="K21" s="131"/>
      <c r="L21" s="131"/>
      <c r="M21" s="131"/>
    </row>
    <row r="22" spans="2:20" ht="3" customHeight="1"/>
    <row r="23" spans="2:20">
      <c r="F23" s="132">
        <f>'Operating Model'!G5</f>
        <v>2018</v>
      </c>
      <c r="G23" s="132">
        <f>'Operating Model'!H5</f>
        <v>2019</v>
      </c>
      <c r="H23" s="132">
        <f>'Operating Model'!I5</f>
        <v>2020</v>
      </c>
      <c r="I23" s="132">
        <f>'Operating Model'!J5</f>
        <v>2021</v>
      </c>
      <c r="J23" s="132">
        <f>'Operating Model'!K5</f>
        <v>2022</v>
      </c>
      <c r="K23" s="132">
        <f>'Operating Model'!L5</f>
        <v>2023</v>
      </c>
      <c r="L23" s="132">
        <f>'Operating Model'!M5</f>
        <v>2024</v>
      </c>
      <c r="M23" s="132">
        <f>'Operating Model'!N5</f>
        <v>2025</v>
      </c>
    </row>
    <row r="24" spans="2:20" ht="3" customHeight="1"/>
    <row r="25" spans="2:20">
      <c r="B25" s="88" t="s">
        <v>2</v>
      </c>
      <c r="F25" s="133">
        <f>'Operating Model'!G24</f>
        <v>1555.6661021365298</v>
      </c>
      <c r="G25" s="133">
        <f>'Operating Model'!H24</f>
        <v>1564.3807507024324</v>
      </c>
      <c r="H25" s="133">
        <f>'Operating Model'!I24</f>
        <v>1573.1442176487853</v>
      </c>
      <c r="I25" s="133">
        <f>'Operating Model'!J24</f>
        <v>1581.9567764501007</v>
      </c>
      <c r="J25" s="133">
        <f>'Operating Model'!K24</f>
        <v>1590.818702112861</v>
      </c>
      <c r="K25" s="133">
        <f>'Operating Model'!L24</f>
        <v>1599.7302711841028</v>
      </c>
      <c r="L25" s="133">
        <f>'Operating Model'!M24</f>
        <v>1608.6917617600432</v>
      </c>
      <c r="M25" s="133">
        <f>'Operating Model'!N24</f>
        <v>1617.7034534947584</v>
      </c>
    </row>
    <row r="26" spans="2:20">
      <c r="B26" s="88" t="s">
        <v>75</v>
      </c>
      <c r="F26" s="133">
        <f>-'Operating Model'!G37</f>
        <v>0</v>
      </c>
      <c r="G26" s="133">
        <f>-'Operating Model'!H37</f>
        <v>0</v>
      </c>
      <c r="H26" s="133">
        <f>-'Operating Model'!I37</f>
        <v>0</v>
      </c>
      <c r="I26" s="133">
        <f>-'Operating Model'!J37</f>
        <v>0</v>
      </c>
      <c r="J26" s="133">
        <f>-'Operating Model'!K37</f>
        <v>0</v>
      </c>
      <c r="K26" s="133">
        <f>-'Operating Model'!L37</f>
        <v>0</v>
      </c>
      <c r="L26" s="133">
        <f>-'Operating Model'!M37</f>
        <v>0</v>
      </c>
      <c r="M26" s="133">
        <f>-'Operating Model'!N37</f>
        <v>0</v>
      </c>
    </row>
    <row r="27" spans="2:20">
      <c r="B27" s="88" t="s">
        <v>76</v>
      </c>
      <c r="F27" s="134">
        <f>'Operating Model'!G47</f>
        <v>-273.52371026576338</v>
      </c>
      <c r="G27" s="134">
        <f>'Operating Model'!H47</f>
        <v>-275.05595616746058</v>
      </c>
      <c r="H27" s="134">
        <f>'Operating Model'!I47</f>
        <v>-276.59678552066543</v>
      </c>
      <c r="I27" s="134">
        <f>'Operating Model'!J47</f>
        <v>-278.14624640880879</v>
      </c>
      <c r="J27" s="134">
        <f>'Operating Model'!K47</f>
        <v>-279.70438718467886</v>
      </c>
      <c r="K27" s="134">
        <f>'Operating Model'!L47</f>
        <v>-281.27125647193014</v>
      </c>
      <c r="L27" s="134">
        <f>'Operating Model'!M47</f>
        <v>-282.8469031666009</v>
      </c>
      <c r="M27" s="134">
        <f>'Operating Model'!N47</f>
        <v>-284.43137643863889</v>
      </c>
    </row>
    <row r="28" spans="2:20">
      <c r="B28" s="88" t="s">
        <v>77</v>
      </c>
      <c r="F28" s="135">
        <f t="shared" ref="F28:M28" si="7">-F102</f>
        <v>0</v>
      </c>
      <c r="G28" s="135">
        <f t="shared" si="7"/>
        <v>0</v>
      </c>
      <c r="H28" s="135">
        <f t="shared" si="7"/>
        <v>0</v>
      </c>
      <c r="I28" s="135">
        <f t="shared" si="7"/>
        <v>0</v>
      </c>
      <c r="J28" s="135">
        <f t="shared" si="7"/>
        <v>0</v>
      </c>
      <c r="K28" s="135">
        <f t="shared" si="7"/>
        <v>0</v>
      </c>
      <c r="L28" s="135">
        <f t="shared" si="7"/>
        <v>0</v>
      </c>
      <c r="M28" s="135">
        <f t="shared" si="7"/>
        <v>0</v>
      </c>
    </row>
    <row r="29" spans="2:20">
      <c r="B29" s="88" t="s">
        <v>78</v>
      </c>
      <c r="F29" s="135">
        <f t="shared" ref="F29:M29" si="8">-F114</f>
        <v>-445.7826797811361</v>
      </c>
      <c r="G29" s="135">
        <f t="shared" si="8"/>
        <v>-448.30440727339618</v>
      </c>
      <c r="H29" s="135">
        <f t="shared" si="8"/>
        <v>-450.8402611703159</v>
      </c>
      <c r="I29" s="135">
        <f t="shared" si="8"/>
        <v>-453.39032060626221</v>
      </c>
      <c r="J29" s="135">
        <f t="shared" si="8"/>
        <v>-455.95466515890251</v>
      </c>
      <c r="K29" s="135">
        <f t="shared" si="8"/>
        <v>-458.53337485168942</v>
      </c>
      <c r="L29" s="135">
        <f t="shared" si="8"/>
        <v>-461.12653015635641</v>
      </c>
      <c r="M29" s="135">
        <f t="shared" si="8"/>
        <v>-463.73421199542889</v>
      </c>
    </row>
    <row r="30" spans="2:20">
      <c r="B30" s="88" t="s">
        <v>79</v>
      </c>
      <c r="F30" s="135">
        <f t="shared" ref="F30:M30" si="9">-F158</f>
        <v>-0.82347576862935057</v>
      </c>
      <c r="G30" s="135">
        <f t="shared" si="9"/>
        <v>-0.82808877775551082</v>
      </c>
      <c r="H30" s="135">
        <f t="shared" si="9"/>
        <v>-0.83272762838646486</v>
      </c>
      <c r="I30" s="135">
        <f t="shared" si="9"/>
        <v>-0.83739246528352851</v>
      </c>
      <c r="J30" s="135">
        <f t="shared" si="9"/>
        <v>-0.84208343401837737</v>
      </c>
      <c r="K30" s="135">
        <f t="shared" si="9"/>
        <v>-0.84680068097782168</v>
      </c>
      <c r="L30" s="135">
        <f t="shared" si="9"/>
        <v>-0.85154435336949064</v>
      </c>
      <c r="M30" s="135">
        <f t="shared" si="9"/>
        <v>-0.85631459922637987</v>
      </c>
    </row>
    <row r="31" spans="2:20">
      <c r="B31" s="136" t="s">
        <v>80</v>
      </c>
      <c r="F31" s="135">
        <f t="shared" ref="F31:M31" si="10">-F161</f>
        <v>0</v>
      </c>
      <c r="G31" s="135">
        <f t="shared" si="10"/>
        <v>0</v>
      </c>
      <c r="H31" s="135">
        <f t="shared" si="10"/>
        <v>0</v>
      </c>
      <c r="I31" s="135">
        <f t="shared" si="10"/>
        <v>0</v>
      </c>
      <c r="J31" s="135">
        <f t="shared" si="10"/>
        <v>0</v>
      </c>
      <c r="K31" s="135">
        <f t="shared" si="10"/>
        <v>0</v>
      </c>
      <c r="L31" s="135">
        <f t="shared" si="10"/>
        <v>0</v>
      </c>
      <c r="M31" s="135">
        <f t="shared" si="10"/>
        <v>0</v>
      </c>
    </row>
    <row r="32" spans="2:20">
      <c r="B32" s="137" t="s">
        <v>81</v>
      </c>
      <c r="F32" s="138">
        <f t="shared" ref="F32:M32" si="11">SUM(F25:F31)</f>
        <v>835.53623632100107</v>
      </c>
      <c r="G32" s="138">
        <f t="shared" si="11"/>
        <v>840.19229848381997</v>
      </c>
      <c r="H32" s="138">
        <f t="shared" si="11"/>
        <v>844.87444332941755</v>
      </c>
      <c r="I32" s="138">
        <f t="shared" si="11"/>
        <v>849.5828169697462</v>
      </c>
      <c r="J32" s="138">
        <f t="shared" si="11"/>
        <v>854.31756633526129</v>
      </c>
      <c r="K32" s="138">
        <f t="shared" si="11"/>
        <v>859.07883917950539</v>
      </c>
      <c r="L32" s="138">
        <f t="shared" si="11"/>
        <v>863.86678408371631</v>
      </c>
      <c r="M32" s="138">
        <f t="shared" si="11"/>
        <v>868.68155046146421</v>
      </c>
    </row>
    <row r="34" spans="2:13">
      <c r="B34" s="88" t="s">
        <v>82</v>
      </c>
      <c r="F34" s="133">
        <f>'Operating Model'!G27</f>
        <v>269.50130276185507</v>
      </c>
      <c r="G34" s="133">
        <f>'Operating Model'!H27</f>
        <v>271.01101563558615</v>
      </c>
      <c r="H34" s="133">
        <f>'Operating Model'!I27</f>
        <v>272.52918573359682</v>
      </c>
      <c r="I34" s="133">
        <f>'Operating Model'!J27</f>
        <v>274.05586043220865</v>
      </c>
      <c r="J34" s="133">
        <f>'Operating Model'!K27</f>
        <v>275.59108737313943</v>
      </c>
      <c r="K34" s="133">
        <f>'Operating Model'!L27</f>
        <v>277.13491446499</v>
      </c>
      <c r="L34" s="133">
        <f>'Operating Model'!M27</f>
        <v>278.6873898847391</v>
      </c>
      <c r="M34" s="133">
        <f>'Operating Model'!N27</f>
        <v>280.24856207924711</v>
      </c>
    </row>
    <row r="36" spans="2:13">
      <c r="B36" s="130" t="s">
        <v>83</v>
      </c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</row>
    <row r="37" spans="2:13" ht="3" customHeight="1"/>
    <row r="38" spans="2:13">
      <c r="F38" s="132">
        <f t="shared" ref="F38:M38" si="12">F23</f>
        <v>2018</v>
      </c>
      <c r="G38" s="132">
        <f t="shared" si="12"/>
        <v>2019</v>
      </c>
      <c r="H38" s="132">
        <f t="shared" si="12"/>
        <v>2020</v>
      </c>
      <c r="I38" s="132">
        <f t="shared" si="12"/>
        <v>2021</v>
      </c>
      <c r="J38" s="132">
        <f t="shared" si="12"/>
        <v>2022</v>
      </c>
      <c r="K38" s="132">
        <f t="shared" si="12"/>
        <v>2023</v>
      </c>
      <c r="L38" s="132">
        <f t="shared" si="12"/>
        <v>2024</v>
      </c>
      <c r="M38" s="132">
        <f t="shared" si="12"/>
        <v>2025</v>
      </c>
    </row>
    <row r="39" spans="2:13" ht="3" customHeight="1"/>
    <row r="40" spans="2:13">
      <c r="B40" s="88" t="str">
        <f t="shared" ref="B40:B47" si="13">F6</f>
        <v>Revolver</v>
      </c>
      <c r="F40" s="139">
        <v>0</v>
      </c>
      <c r="G40" s="139">
        <v>0</v>
      </c>
      <c r="H40" s="139">
        <v>0</v>
      </c>
      <c r="I40" s="139">
        <v>0</v>
      </c>
      <c r="J40" s="139">
        <v>0</v>
      </c>
      <c r="K40" s="139">
        <v>0</v>
      </c>
      <c r="L40" s="139">
        <v>0</v>
      </c>
      <c r="M40" s="139">
        <v>0</v>
      </c>
    </row>
    <row r="41" spans="2:13">
      <c r="B41" s="88" t="str">
        <f t="shared" si="13"/>
        <v>Term Loan 1</v>
      </c>
      <c r="F41" s="140">
        <v>0</v>
      </c>
      <c r="G41" s="140">
        <v>0</v>
      </c>
      <c r="H41" s="140">
        <v>0</v>
      </c>
      <c r="I41" s="140">
        <v>0</v>
      </c>
      <c r="J41" s="140">
        <v>0</v>
      </c>
      <c r="K41" s="140">
        <v>0</v>
      </c>
      <c r="L41" s="140">
        <v>0</v>
      </c>
      <c r="M41" s="140">
        <v>0</v>
      </c>
    </row>
    <row r="42" spans="2:13">
      <c r="B42" s="88" t="str">
        <f t="shared" si="13"/>
        <v>Term Loan 2</v>
      </c>
      <c r="F42" s="140">
        <v>0</v>
      </c>
      <c r="G42" s="140">
        <v>0</v>
      </c>
      <c r="H42" s="140">
        <v>0</v>
      </c>
      <c r="I42" s="140">
        <v>0</v>
      </c>
      <c r="J42" s="140">
        <v>0</v>
      </c>
      <c r="K42" s="140">
        <v>0</v>
      </c>
      <c r="L42" s="140">
        <v>0</v>
      </c>
      <c r="M42" s="140">
        <v>0</v>
      </c>
    </row>
    <row r="43" spans="2:13">
      <c r="B43" s="88" t="str">
        <f t="shared" si="13"/>
        <v>Term Loan 3</v>
      </c>
      <c r="F43" s="140">
        <v>0</v>
      </c>
      <c r="G43" s="140">
        <v>0</v>
      </c>
      <c r="H43" s="140">
        <v>0</v>
      </c>
      <c r="I43" s="140">
        <v>0</v>
      </c>
      <c r="J43" s="140">
        <v>0</v>
      </c>
      <c r="K43" s="140">
        <v>0</v>
      </c>
      <c r="L43" s="140">
        <v>0</v>
      </c>
      <c r="M43" s="140">
        <v>0</v>
      </c>
    </row>
    <row r="44" spans="2:13">
      <c r="B44" s="88" t="str">
        <f t="shared" si="13"/>
        <v>Secured Note 1</v>
      </c>
      <c r="F44" s="140">
        <v>0</v>
      </c>
      <c r="G44" s="140">
        <v>0</v>
      </c>
      <c r="H44" s="140">
        <v>0</v>
      </c>
      <c r="I44" s="140">
        <v>0</v>
      </c>
      <c r="J44" s="140">
        <v>0</v>
      </c>
      <c r="K44" s="140">
        <v>0</v>
      </c>
      <c r="L44" s="140">
        <v>0</v>
      </c>
      <c r="M44" s="140">
        <v>0</v>
      </c>
    </row>
    <row r="45" spans="2:13">
      <c r="B45" s="88" t="str">
        <f t="shared" si="13"/>
        <v>Secured Note 2</v>
      </c>
      <c r="F45" s="140">
        <v>0</v>
      </c>
      <c r="G45" s="140">
        <v>0</v>
      </c>
      <c r="H45" s="140">
        <v>0</v>
      </c>
      <c r="I45" s="140">
        <v>0</v>
      </c>
      <c r="J45" s="140">
        <v>0</v>
      </c>
      <c r="K45" s="140">
        <v>0</v>
      </c>
      <c r="L45" s="140">
        <v>0</v>
      </c>
      <c r="M45" s="140">
        <v>0</v>
      </c>
    </row>
    <row r="46" spans="2:13">
      <c r="B46" s="88" t="str">
        <f t="shared" si="13"/>
        <v>Unsecured Note 1</v>
      </c>
      <c r="F46" s="140">
        <v>0</v>
      </c>
      <c r="G46" s="140">
        <v>0</v>
      </c>
      <c r="H46" s="140">
        <v>0</v>
      </c>
      <c r="I46" s="140">
        <v>0</v>
      </c>
      <c r="J46" s="140">
        <v>0</v>
      </c>
      <c r="K46" s="140">
        <v>0</v>
      </c>
      <c r="L46" s="140">
        <v>0</v>
      </c>
      <c r="M46" s="140">
        <v>0</v>
      </c>
    </row>
    <row r="47" spans="2:13">
      <c r="B47" s="88" t="str">
        <f t="shared" si="13"/>
        <v>Unsecured Note 2</v>
      </c>
      <c r="F47" s="140">
        <v>0</v>
      </c>
      <c r="G47" s="140">
        <v>0</v>
      </c>
      <c r="H47" s="140">
        <v>0</v>
      </c>
      <c r="I47" s="140">
        <v>0</v>
      </c>
      <c r="J47" s="140">
        <v>0</v>
      </c>
      <c r="K47" s="140">
        <v>0</v>
      </c>
      <c r="L47" s="140">
        <v>0</v>
      </c>
      <c r="M47" s="140">
        <v>0</v>
      </c>
    </row>
    <row r="48" spans="2:13">
      <c r="B48" s="88" t="str">
        <f>J8</f>
        <v>Short-term borrowings</v>
      </c>
      <c r="F48" s="140">
        <v>0</v>
      </c>
      <c r="G48" s="140">
        <v>0</v>
      </c>
      <c r="H48" s="140">
        <v>0</v>
      </c>
      <c r="I48" s="140">
        <v>0</v>
      </c>
      <c r="J48" s="140">
        <v>0</v>
      </c>
      <c r="K48" s="140">
        <v>0</v>
      </c>
      <c r="L48" s="140">
        <v>0</v>
      </c>
      <c r="M48" s="140">
        <v>0</v>
      </c>
    </row>
    <row r="49" spans="2:13">
      <c r="B49" s="88" t="str">
        <f>J9</f>
        <v>Long-term debt</v>
      </c>
      <c r="F49" s="140">
        <v>0</v>
      </c>
      <c r="G49" s="140">
        <v>0</v>
      </c>
      <c r="H49" s="140">
        <v>0</v>
      </c>
      <c r="I49" s="140">
        <v>0</v>
      </c>
      <c r="J49" s="140">
        <v>0</v>
      </c>
      <c r="K49" s="140">
        <v>0</v>
      </c>
      <c r="L49" s="140">
        <v>0</v>
      </c>
      <c r="M49" s="140">
        <v>0</v>
      </c>
    </row>
    <row r="50" spans="2:13">
      <c r="F50" s="138">
        <f t="shared" ref="F50:M50" si="14">SUM(F40:F49)</f>
        <v>0</v>
      </c>
      <c r="G50" s="138">
        <f t="shared" si="14"/>
        <v>0</v>
      </c>
      <c r="H50" s="138">
        <f t="shared" si="14"/>
        <v>0</v>
      </c>
      <c r="I50" s="138">
        <f t="shared" si="14"/>
        <v>0</v>
      </c>
      <c r="J50" s="138">
        <f t="shared" si="14"/>
        <v>0</v>
      </c>
      <c r="K50" s="138">
        <f t="shared" si="14"/>
        <v>0</v>
      </c>
      <c r="L50" s="138">
        <f t="shared" si="14"/>
        <v>0</v>
      </c>
      <c r="M50" s="138">
        <f t="shared" si="14"/>
        <v>0</v>
      </c>
    </row>
    <row r="51" spans="2:13">
      <c r="B51" s="130" t="s">
        <v>84</v>
      </c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M51" s="131"/>
    </row>
    <row r="52" spans="2:13" ht="3" customHeight="1"/>
    <row r="53" spans="2:13">
      <c r="F53" s="132">
        <f t="shared" ref="F53:M53" si="15">F23</f>
        <v>2018</v>
      </c>
      <c r="G53" s="132">
        <f t="shared" si="15"/>
        <v>2019</v>
      </c>
      <c r="H53" s="132">
        <f t="shared" si="15"/>
        <v>2020</v>
      </c>
      <c r="I53" s="132">
        <f t="shared" si="15"/>
        <v>2021</v>
      </c>
      <c r="J53" s="132">
        <f t="shared" si="15"/>
        <v>2022</v>
      </c>
      <c r="K53" s="132">
        <f t="shared" si="15"/>
        <v>2023</v>
      </c>
      <c r="L53" s="132">
        <f t="shared" si="15"/>
        <v>2024</v>
      </c>
      <c r="M53" s="132">
        <f t="shared" si="15"/>
        <v>2025</v>
      </c>
    </row>
    <row r="54" spans="2:13" ht="3" customHeight="1"/>
    <row r="55" spans="2:13">
      <c r="B55" s="88" t="str">
        <f t="shared" ref="B55:B62" si="16">F6</f>
        <v>Revolver</v>
      </c>
      <c r="F55" s="141">
        <f t="shared" ref="F55:M64" si="17">MIN(E141,F40)</f>
        <v>0</v>
      </c>
      <c r="G55" s="141">
        <f t="shared" si="17"/>
        <v>0</v>
      </c>
      <c r="H55" s="141">
        <f t="shared" si="17"/>
        <v>0</v>
      </c>
      <c r="I55" s="141">
        <f t="shared" si="17"/>
        <v>0</v>
      </c>
      <c r="J55" s="141">
        <f t="shared" si="17"/>
        <v>0</v>
      </c>
      <c r="K55" s="141">
        <f t="shared" si="17"/>
        <v>0</v>
      </c>
      <c r="L55" s="141">
        <f t="shared" si="17"/>
        <v>0</v>
      </c>
      <c r="M55" s="141">
        <f t="shared" si="17"/>
        <v>0</v>
      </c>
    </row>
    <row r="56" spans="2:13">
      <c r="B56" s="88" t="str">
        <f t="shared" si="16"/>
        <v>Term Loan 1</v>
      </c>
      <c r="F56" s="142">
        <f t="shared" si="17"/>
        <v>0</v>
      </c>
      <c r="G56" s="142">
        <f t="shared" si="17"/>
        <v>0</v>
      </c>
      <c r="H56" s="142">
        <f t="shared" si="17"/>
        <v>0</v>
      </c>
      <c r="I56" s="142">
        <f t="shared" si="17"/>
        <v>0</v>
      </c>
      <c r="J56" s="142">
        <f t="shared" si="17"/>
        <v>0</v>
      </c>
      <c r="K56" s="142">
        <f t="shared" si="17"/>
        <v>0</v>
      </c>
      <c r="L56" s="142">
        <f t="shared" si="17"/>
        <v>0</v>
      </c>
      <c r="M56" s="142">
        <f t="shared" si="17"/>
        <v>0</v>
      </c>
    </row>
    <row r="57" spans="2:13">
      <c r="B57" s="88" t="str">
        <f t="shared" si="16"/>
        <v>Term Loan 2</v>
      </c>
      <c r="F57" s="142">
        <f t="shared" si="17"/>
        <v>0</v>
      </c>
      <c r="G57" s="142">
        <f t="shared" si="17"/>
        <v>0</v>
      </c>
      <c r="H57" s="142">
        <f t="shared" si="17"/>
        <v>0</v>
      </c>
      <c r="I57" s="142">
        <f t="shared" si="17"/>
        <v>0</v>
      </c>
      <c r="J57" s="142">
        <f t="shared" si="17"/>
        <v>0</v>
      </c>
      <c r="K57" s="142">
        <f t="shared" si="17"/>
        <v>0</v>
      </c>
      <c r="L57" s="142">
        <f t="shared" si="17"/>
        <v>0</v>
      </c>
      <c r="M57" s="142">
        <f t="shared" si="17"/>
        <v>0</v>
      </c>
    </row>
    <row r="58" spans="2:13">
      <c r="B58" s="88" t="str">
        <f t="shared" si="16"/>
        <v>Term Loan 3</v>
      </c>
      <c r="F58" s="142">
        <f t="shared" si="17"/>
        <v>0</v>
      </c>
      <c r="G58" s="142">
        <f t="shared" si="17"/>
        <v>0</v>
      </c>
      <c r="H58" s="142">
        <f t="shared" si="17"/>
        <v>0</v>
      </c>
      <c r="I58" s="142">
        <f t="shared" si="17"/>
        <v>0</v>
      </c>
      <c r="J58" s="142">
        <f t="shared" si="17"/>
        <v>0</v>
      </c>
      <c r="K58" s="142">
        <f t="shared" si="17"/>
        <v>0</v>
      </c>
      <c r="L58" s="142">
        <f t="shared" si="17"/>
        <v>0</v>
      </c>
      <c r="M58" s="142">
        <f t="shared" si="17"/>
        <v>0</v>
      </c>
    </row>
    <row r="59" spans="2:13">
      <c r="B59" s="88" t="str">
        <f t="shared" si="16"/>
        <v>Secured Note 1</v>
      </c>
      <c r="F59" s="142">
        <f t="shared" si="17"/>
        <v>0</v>
      </c>
      <c r="G59" s="142">
        <f t="shared" si="17"/>
        <v>0</v>
      </c>
      <c r="H59" s="142">
        <f t="shared" si="17"/>
        <v>0</v>
      </c>
      <c r="I59" s="142">
        <f t="shared" si="17"/>
        <v>0</v>
      </c>
      <c r="J59" s="142">
        <f t="shared" si="17"/>
        <v>0</v>
      </c>
      <c r="K59" s="142">
        <f t="shared" si="17"/>
        <v>0</v>
      </c>
      <c r="L59" s="142">
        <f t="shared" si="17"/>
        <v>0</v>
      </c>
      <c r="M59" s="142">
        <f t="shared" si="17"/>
        <v>0</v>
      </c>
    </row>
    <row r="60" spans="2:13">
      <c r="B60" s="88" t="str">
        <f t="shared" si="16"/>
        <v>Secured Note 2</v>
      </c>
      <c r="F60" s="142">
        <f t="shared" si="17"/>
        <v>0</v>
      </c>
      <c r="G60" s="142">
        <f t="shared" si="17"/>
        <v>0</v>
      </c>
      <c r="H60" s="142">
        <f t="shared" si="17"/>
        <v>0</v>
      </c>
      <c r="I60" s="142">
        <f t="shared" si="17"/>
        <v>0</v>
      </c>
      <c r="J60" s="142">
        <f t="shared" si="17"/>
        <v>0</v>
      </c>
      <c r="K60" s="142">
        <f t="shared" si="17"/>
        <v>0</v>
      </c>
      <c r="L60" s="142">
        <f t="shared" si="17"/>
        <v>0</v>
      </c>
      <c r="M60" s="142">
        <f t="shared" si="17"/>
        <v>0</v>
      </c>
    </row>
    <row r="61" spans="2:13">
      <c r="B61" s="88" t="str">
        <f t="shared" si="16"/>
        <v>Unsecured Note 1</v>
      </c>
      <c r="F61" s="142">
        <f t="shared" si="17"/>
        <v>0</v>
      </c>
      <c r="G61" s="142">
        <f t="shared" si="17"/>
        <v>0</v>
      </c>
      <c r="H61" s="142">
        <f t="shared" si="17"/>
        <v>0</v>
      </c>
      <c r="I61" s="142">
        <f t="shared" si="17"/>
        <v>0</v>
      </c>
      <c r="J61" s="142">
        <f t="shared" si="17"/>
        <v>0</v>
      </c>
      <c r="K61" s="142">
        <f t="shared" si="17"/>
        <v>0</v>
      </c>
      <c r="L61" s="142">
        <f t="shared" si="17"/>
        <v>0</v>
      </c>
      <c r="M61" s="142">
        <f t="shared" si="17"/>
        <v>0</v>
      </c>
    </row>
    <row r="62" spans="2:13">
      <c r="B62" s="88" t="str">
        <f t="shared" si="16"/>
        <v>Unsecured Note 2</v>
      </c>
      <c r="F62" s="142">
        <f t="shared" si="17"/>
        <v>0</v>
      </c>
      <c r="G62" s="142">
        <f t="shared" si="17"/>
        <v>0</v>
      </c>
      <c r="H62" s="142">
        <f t="shared" si="17"/>
        <v>0</v>
      </c>
      <c r="I62" s="142">
        <f t="shared" si="17"/>
        <v>0</v>
      </c>
      <c r="J62" s="142">
        <f t="shared" si="17"/>
        <v>0</v>
      </c>
      <c r="K62" s="142">
        <f t="shared" si="17"/>
        <v>0</v>
      </c>
      <c r="L62" s="142">
        <f t="shared" si="17"/>
        <v>0</v>
      </c>
      <c r="M62" s="142">
        <f t="shared" si="17"/>
        <v>0</v>
      </c>
    </row>
    <row r="63" spans="2:13">
      <c r="B63" s="88" t="str">
        <f>J8</f>
        <v>Short-term borrowings</v>
      </c>
      <c r="F63" s="142">
        <f t="shared" si="17"/>
        <v>0</v>
      </c>
      <c r="G63" s="142">
        <f t="shared" si="17"/>
        <v>0</v>
      </c>
      <c r="H63" s="142">
        <f t="shared" si="17"/>
        <v>0</v>
      </c>
      <c r="I63" s="142">
        <f t="shared" si="17"/>
        <v>0</v>
      </c>
      <c r="J63" s="142">
        <f t="shared" si="17"/>
        <v>0</v>
      </c>
      <c r="K63" s="142">
        <f t="shared" si="17"/>
        <v>0</v>
      </c>
      <c r="L63" s="142">
        <f t="shared" si="17"/>
        <v>0</v>
      </c>
      <c r="M63" s="142">
        <f t="shared" si="17"/>
        <v>0</v>
      </c>
    </row>
    <row r="64" spans="2:13">
      <c r="B64" s="88" t="str">
        <f>J9</f>
        <v>Long-term debt</v>
      </c>
      <c r="F64" s="142">
        <f t="shared" si="17"/>
        <v>0</v>
      </c>
      <c r="G64" s="142">
        <f t="shared" si="17"/>
        <v>0</v>
      </c>
      <c r="H64" s="142">
        <f t="shared" si="17"/>
        <v>0</v>
      </c>
      <c r="I64" s="142">
        <f t="shared" si="17"/>
        <v>0</v>
      </c>
      <c r="J64" s="142">
        <f t="shared" si="17"/>
        <v>0</v>
      </c>
      <c r="K64" s="142">
        <f t="shared" si="17"/>
        <v>0</v>
      </c>
      <c r="L64" s="142">
        <f t="shared" si="17"/>
        <v>0</v>
      </c>
      <c r="M64" s="142">
        <f t="shared" si="17"/>
        <v>0</v>
      </c>
    </row>
    <row r="65" spans="2:13">
      <c r="F65" s="138">
        <f t="shared" ref="F65:M65" si="18">SUM(F55:F64)</f>
        <v>0</v>
      </c>
      <c r="G65" s="138">
        <f t="shared" si="18"/>
        <v>0</v>
      </c>
      <c r="H65" s="138">
        <f t="shared" si="18"/>
        <v>0</v>
      </c>
      <c r="I65" s="138">
        <f t="shared" si="18"/>
        <v>0</v>
      </c>
      <c r="J65" s="138">
        <f t="shared" si="18"/>
        <v>0</v>
      </c>
      <c r="K65" s="138">
        <f t="shared" si="18"/>
        <v>0</v>
      </c>
      <c r="L65" s="138">
        <f t="shared" si="18"/>
        <v>0</v>
      </c>
      <c r="M65" s="138">
        <f t="shared" si="18"/>
        <v>0</v>
      </c>
    </row>
    <row r="67" spans="2:13">
      <c r="B67" s="130" t="s">
        <v>85</v>
      </c>
      <c r="C67" s="131"/>
      <c r="D67" s="131"/>
      <c r="E67" s="131"/>
      <c r="F67" s="131"/>
      <c r="G67" s="131"/>
      <c r="H67" s="131"/>
      <c r="I67" s="131"/>
      <c r="J67" s="131"/>
      <c r="K67" s="131"/>
      <c r="L67" s="131"/>
      <c r="M67" s="131"/>
    </row>
    <row r="68" spans="2:13" ht="3" customHeight="1"/>
    <row r="69" spans="2:13">
      <c r="F69" s="132">
        <f t="shared" ref="F69:M69" si="19">F23</f>
        <v>2018</v>
      </c>
      <c r="G69" s="132">
        <f t="shared" si="19"/>
        <v>2019</v>
      </c>
      <c r="H69" s="132">
        <f t="shared" si="19"/>
        <v>2020</v>
      </c>
      <c r="I69" s="132">
        <f t="shared" si="19"/>
        <v>2021</v>
      </c>
      <c r="J69" s="132">
        <f t="shared" si="19"/>
        <v>2022</v>
      </c>
      <c r="K69" s="132">
        <f t="shared" si="19"/>
        <v>2023</v>
      </c>
      <c r="L69" s="132">
        <f t="shared" si="19"/>
        <v>2024</v>
      </c>
      <c r="M69" s="132">
        <f t="shared" si="19"/>
        <v>2025</v>
      </c>
    </row>
    <row r="70" spans="2:13" ht="3" customHeight="1"/>
    <row r="71" spans="2:13">
      <c r="B71" s="88" t="s">
        <v>86</v>
      </c>
      <c r="F71" s="141">
        <f t="shared" ref="F71:M71" si="20">F32-F65</f>
        <v>835.53623632100107</v>
      </c>
      <c r="G71" s="141">
        <f t="shared" si="20"/>
        <v>840.19229848381997</v>
      </c>
      <c r="H71" s="141">
        <f t="shared" si="20"/>
        <v>844.87444332941755</v>
      </c>
      <c r="I71" s="141">
        <f t="shared" si="20"/>
        <v>849.5828169697462</v>
      </c>
      <c r="J71" s="141">
        <f t="shared" si="20"/>
        <v>854.31756633526129</v>
      </c>
      <c r="K71" s="141">
        <f t="shared" si="20"/>
        <v>859.07883917950539</v>
      </c>
      <c r="L71" s="141">
        <f t="shared" si="20"/>
        <v>863.86678408371631</v>
      </c>
      <c r="M71" s="141">
        <f t="shared" si="20"/>
        <v>868.68155046146421</v>
      </c>
    </row>
    <row r="72" spans="2:13">
      <c r="B72" s="88" t="s">
        <v>87</v>
      </c>
      <c r="C72" s="143">
        <v>0</v>
      </c>
    </row>
    <row r="73" spans="2:13">
      <c r="B73" s="88" t="s">
        <v>88</v>
      </c>
      <c r="F73" s="138">
        <f>F71+E121-C72</f>
        <v>1319.5362363210011</v>
      </c>
      <c r="G73" s="138">
        <f>G71+F121-C72</f>
        <v>1759.728534804821</v>
      </c>
      <c r="H73" s="138">
        <f>H71+G121-C72</f>
        <v>2604.6029781342386</v>
      </c>
      <c r="I73" s="138">
        <f>I71+H121-C72</f>
        <v>3454.1857951039847</v>
      </c>
      <c r="J73" s="138">
        <f>J71+I121-C72</f>
        <v>4308.503361439246</v>
      </c>
      <c r="K73" s="138">
        <f>K71+J121-C72</f>
        <v>5167.5822006187518</v>
      </c>
      <c r="L73" s="138">
        <f>L71+K121-C72</f>
        <v>6031.4489847024679</v>
      </c>
      <c r="M73" s="138">
        <f>M71+L121-C72</f>
        <v>6900.1305351639321</v>
      </c>
    </row>
    <row r="75" spans="2:13">
      <c r="B75" s="130" t="s">
        <v>89</v>
      </c>
      <c r="C75" s="131"/>
      <c r="D75" s="131"/>
      <c r="E75" s="131"/>
      <c r="F75" s="131"/>
      <c r="G75" s="131"/>
      <c r="H75" s="131"/>
      <c r="I75" s="131"/>
      <c r="J75" s="131"/>
      <c r="K75" s="131"/>
      <c r="L75" s="131"/>
      <c r="M75" s="131"/>
    </row>
    <row r="76" spans="2:13" ht="3" customHeight="1"/>
    <row r="77" spans="2:13">
      <c r="F77" s="132">
        <f t="shared" ref="F77:M77" si="21">F23</f>
        <v>2018</v>
      </c>
      <c r="G77" s="132">
        <f t="shared" si="21"/>
        <v>2019</v>
      </c>
      <c r="H77" s="132">
        <f t="shared" si="21"/>
        <v>2020</v>
      </c>
      <c r="I77" s="132">
        <f t="shared" si="21"/>
        <v>2021</v>
      </c>
      <c r="J77" s="132">
        <f t="shared" si="21"/>
        <v>2022</v>
      </c>
      <c r="K77" s="132">
        <f t="shared" si="21"/>
        <v>2023</v>
      </c>
      <c r="L77" s="132">
        <f t="shared" si="21"/>
        <v>2024</v>
      </c>
      <c r="M77" s="132">
        <f t="shared" si="21"/>
        <v>2025</v>
      </c>
    </row>
    <row r="78" spans="2:13" ht="3" customHeight="1"/>
    <row r="79" spans="2:13">
      <c r="B79" s="88" t="str">
        <f>F6</f>
        <v>Revolver</v>
      </c>
      <c r="C79" s="88" t="s">
        <v>90</v>
      </c>
      <c r="D79" s="144">
        <v>1</v>
      </c>
      <c r="F79" s="141">
        <f>MIN(E141-F55,F73*D79)</f>
        <v>100</v>
      </c>
      <c r="G79" s="141">
        <f>MIN(F141-G55,G73*D79)</f>
        <v>0</v>
      </c>
      <c r="H79" s="141">
        <f>MIN(G141-H55,H73*D79)</f>
        <v>0</v>
      </c>
      <c r="I79" s="141">
        <f>MIN(H141-I55,I73*D79)</f>
        <v>0</v>
      </c>
      <c r="J79" s="141">
        <f>MIN(I141-J55,J73*D79)</f>
        <v>0</v>
      </c>
      <c r="K79" s="141">
        <f>MIN(J141-K55,K73*D79)</f>
        <v>0</v>
      </c>
      <c r="L79" s="141">
        <f>MIN(K141-L55,L73*D79)</f>
        <v>0</v>
      </c>
      <c r="M79" s="141">
        <f>MIN(L141-M55,M73*D79)</f>
        <v>0</v>
      </c>
    </row>
    <row r="80" spans="2:13">
      <c r="B80" s="88" t="str">
        <f>F7</f>
        <v>Term Loan 1</v>
      </c>
      <c r="F80" s="142">
        <f>MIN(E142-F56,F73*D79-F79)</f>
        <v>100</v>
      </c>
      <c r="G80" s="142">
        <f>MIN(F142-G56,G73*D79-G79)</f>
        <v>0</v>
      </c>
      <c r="H80" s="142">
        <f>MIN(G142-H56,H73*D79-H79)</f>
        <v>0</v>
      </c>
      <c r="I80" s="142">
        <f>MIN(H142-I56,I73*D79-I79)</f>
        <v>0</v>
      </c>
      <c r="J80" s="142">
        <f>MIN(I142-J56,J73*D79-J79)</f>
        <v>0</v>
      </c>
      <c r="K80" s="142">
        <f>MIN(J142-K56,K73*D79-K79)</f>
        <v>0</v>
      </c>
      <c r="L80" s="142">
        <f>MIN(K142-L56,L73*D79-L79)</f>
        <v>0</v>
      </c>
      <c r="M80" s="142">
        <f>MIN(L142-M56,M73*D79-M79)</f>
        <v>0</v>
      </c>
    </row>
    <row r="81" spans="2:13">
      <c r="B81" s="88" t="str">
        <f>F8</f>
        <v>Term Loan 2</v>
      </c>
      <c r="F81" s="142">
        <f>MIN(E143-F57,F73*D79-F79-F80)</f>
        <v>100</v>
      </c>
      <c r="G81" s="142">
        <f>MIN(F143-G57,G73*D79-G79-G80)</f>
        <v>0</v>
      </c>
      <c r="H81" s="142">
        <f>MIN(G143-H57,H73*D79-H79-H80)</f>
        <v>0</v>
      </c>
      <c r="I81" s="142">
        <f>MIN(H143-I57,I73*D79-I79-I80)</f>
        <v>0</v>
      </c>
      <c r="J81" s="142">
        <f>MIN(I143-J57,J73*D79-J79-J80)</f>
        <v>0</v>
      </c>
      <c r="K81" s="142">
        <f>MIN(J143-K57,K73*D79-K79-K80)</f>
        <v>0</v>
      </c>
      <c r="L81" s="142">
        <f>MIN(K143-L57,L73*D79-L79-L80)</f>
        <v>0</v>
      </c>
      <c r="M81" s="142">
        <f>MIN(L143-M57,M73*D79-M79-M80)</f>
        <v>0</v>
      </c>
    </row>
    <row r="82" spans="2:13">
      <c r="B82" s="88" t="str">
        <f>F9</f>
        <v>Term Loan 3</v>
      </c>
      <c r="F82" s="142">
        <f>MIN(E144-F58,F73*D79-F79-F80-F81)</f>
        <v>100</v>
      </c>
      <c r="G82" s="142">
        <f>MIN(F144-G58,G73*D79-G79-G80-G81)</f>
        <v>0</v>
      </c>
      <c r="H82" s="142">
        <f>MIN(G144-H58,H73*D79-H79-H80-H81)</f>
        <v>0</v>
      </c>
      <c r="I82" s="142">
        <f>MIN(H144-I58,I73*D79-I79-I80-I81)</f>
        <v>0</v>
      </c>
      <c r="J82" s="142">
        <f>MIN(I144-J58,J73*D79-J79-J80-J81)</f>
        <v>0</v>
      </c>
      <c r="K82" s="142">
        <f>MIN(J144-K58,K73*D79-K79-K80-K81)</f>
        <v>0</v>
      </c>
      <c r="L82" s="142">
        <f>MIN(K144-L58,L73*D79-L79-L80-L81)</f>
        <v>0</v>
      </c>
      <c r="M82" s="142">
        <f>MIN(L144-M58,M73*D79-M79-M80-M81)</f>
        <v>0</v>
      </c>
    </row>
    <row r="83" spans="2:13">
      <c r="B83" s="137" t="s">
        <v>91</v>
      </c>
      <c r="F83" s="145">
        <f t="shared" ref="F83:M83" si="22">SUM(F79:F82)</f>
        <v>400</v>
      </c>
      <c r="G83" s="145">
        <f t="shared" si="22"/>
        <v>0</v>
      </c>
      <c r="H83" s="145">
        <f t="shared" si="22"/>
        <v>0</v>
      </c>
      <c r="I83" s="145">
        <f t="shared" si="22"/>
        <v>0</v>
      </c>
      <c r="J83" s="145">
        <f t="shared" si="22"/>
        <v>0</v>
      </c>
      <c r="K83" s="145">
        <f t="shared" si="22"/>
        <v>0</v>
      </c>
      <c r="L83" s="145">
        <f t="shared" si="22"/>
        <v>0</v>
      </c>
      <c r="M83" s="145">
        <f t="shared" si="22"/>
        <v>0</v>
      </c>
    </row>
    <row r="85" spans="2:13">
      <c r="B85" s="130" t="s">
        <v>92</v>
      </c>
      <c r="C85" s="131"/>
      <c r="D85" s="131"/>
      <c r="E85" s="131"/>
      <c r="F85" s="131"/>
      <c r="G85" s="131"/>
      <c r="H85" s="131"/>
      <c r="I85" s="131"/>
      <c r="J85" s="131"/>
      <c r="K85" s="131"/>
      <c r="L85" s="131"/>
      <c r="M85" s="131"/>
    </row>
    <row r="86" spans="2:13" ht="3" customHeight="1"/>
    <row r="87" spans="2:13">
      <c r="C87" s="146" t="s">
        <v>93</v>
      </c>
      <c r="D87" s="147" t="s">
        <v>94</v>
      </c>
      <c r="F87" s="132">
        <f t="shared" ref="F87:M87" si="23">F23</f>
        <v>2018</v>
      </c>
      <c r="G87" s="132">
        <f t="shared" si="23"/>
        <v>2019</v>
      </c>
      <c r="H87" s="132">
        <f t="shared" si="23"/>
        <v>2020</v>
      </c>
      <c r="I87" s="132">
        <f t="shared" si="23"/>
        <v>2021</v>
      </c>
      <c r="J87" s="132">
        <f t="shared" si="23"/>
        <v>2022</v>
      </c>
      <c r="K87" s="132">
        <f t="shared" si="23"/>
        <v>2023</v>
      </c>
      <c r="L87" s="132">
        <f t="shared" si="23"/>
        <v>2024</v>
      </c>
      <c r="M87" s="132">
        <f t="shared" si="23"/>
        <v>2025</v>
      </c>
    </row>
    <row r="88" spans="2:13" ht="3" customHeight="1"/>
    <row r="89" spans="2:13">
      <c r="B89" s="88" t="s">
        <v>95</v>
      </c>
      <c r="C89" s="88" t="s">
        <v>96</v>
      </c>
      <c r="D89" s="88" t="s">
        <v>96</v>
      </c>
      <c r="F89" s="148">
        <v>0.03</v>
      </c>
      <c r="G89" s="148">
        <v>0.03</v>
      </c>
      <c r="H89" s="148">
        <v>0.03</v>
      </c>
      <c r="I89" s="148">
        <v>0.03</v>
      </c>
      <c r="J89" s="148">
        <v>0.03</v>
      </c>
      <c r="K89" s="148">
        <v>0.03</v>
      </c>
      <c r="L89" s="148">
        <v>0.03</v>
      </c>
      <c r="M89" s="148">
        <v>0.03</v>
      </c>
    </row>
    <row r="90" spans="2:13">
      <c r="B90" s="88" t="s">
        <v>97</v>
      </c>
      <c r="C90" s="149">
        <v>0</v>
      </c>
      <c r="D90" s="150">
        <v>0.01</v>
      </c>
      <c r="F90" s="141">
        <f>IF(D102=1,-1*AVERAGE(F121,E121)*(F89*C90+D90),0)</f>
        <v>0</v>
      </c>
      <c r="G90" s="141">
        <f>IF(D102=1,-1*AVERAGE(G121,F121)*(G89*C90+D90),0)</f>
        <v>0</v>
      </c>
      <c r="H90" s="141">
        <f>IF(D102=1,-1*AVERAGE(H121,G121)*(H89*C90+D90),0)</f>
        <v>0</v>
      </c>
      <c r="I90" s="141">
        <f>IF(D102=1,-1*AVERAGE(I121,H121)*(I89*C90+D90),0)</f>
        <v>0</v>
      </c>
      <c r="J90" s="141">
        <f>IF(D102=1,-1*AVERAGE(J121,I121)*(J89*C90+D90),0)</f>
        <v>0</v>
      </c>
      <c r="K90" s="141">
        <f>IF(D102=1,-1*AVERAGE(K121,J121)*(K89*C90+D90),0)</f>
        <v>0</v>
      </c>
      <c r="L90" s="141">
        <f>IF(D102=1,-1*AVERAGE(L121,K121)*(L89*C90+D90),0)</f>
        <v>0</v>
      </c>
      <c r="M90" s="141">
        <f>IF(D102=1,-1*AVERAGE(M121,L121)*(M89*C90+D90),0)</f>
        <v>0</v>
      </c>
    </row>
    <row r="91" spans="2:13">
      <c r="B91" s="88" t="str">
        <f>F6</f>
        <v>Revolver</v>
      </c>
      <c r="C91" s="151">
        <v>1</v>
      </c>
      <c r="D91" s="152">
        <v>0.01</v>
      </c>
      <c r="F91" s="142">
        <f>IF(D102=1,AVERAGE(F141,E141)*(F89*C91+D91),0)</f>
        <v>0</v>
      </c>
      <c r="G91" s="142">
        <f>IF(D102=1,AVERAGE(G141,F141)*(G89*C91+D91),0)</f>
        <v>0</v>
      </c>
      <c r="H91" s="142">
        <f>IF(D102=1,AVERAGE(H141,G141)*(H89*C91+D91),0)</f>
        <v>0</v>
      </c>
      <c r="I91" s="142">
        <f>IF(D102=1,AVERAGE(I141,H141)*(I89*C91+D91),0)</f>
        <v>0</v>
      </c>
      <c r="J91" s="142">
        <f>IF(D102=1,AVERAGE(J141,I141)*(J89*C91+D91),0)</f>
        <v>0</v>
      </c>
      <c r="K91" s="142">
        <f>IF(D102=1,AVERAGE(K141,J141)*(K89*C91+D91),0)</f>
        <v>0</v>
      </c>
      <c r="L91" s="142">
        <f>IF(D102=1,AVERAGE(L141,K141)*(L89*C91+D91),0)</f>
        <v>0</v>
      </c>
      <c r="M91" s="142">
        <f>IF(D102=1,AVERAGE(M141,L141)*(M89*C91+D91),0)</f>
        <v>0</v>
      </c>
    </row>
    <row r="92" spans="2:13">
      <c r="B92" s="88" t="s">
        <v>98</v>
      </c>
      <c r="C92" s="151">
        <v>0</v>
      </c>
      <c r="D92" s="152">
        <v>2.5000000000000001E-3</v>
      </c>
      <c r="F92" s="142">
        <f>IF(D102=1,(D103-F141)*(F89*C92+D92),0)</f>
        <v>0</v>
      </c>
      <c r="G92" s="142">
        <f>IF(D102=1,(D103-G141)*(G89*C92+D92),0)</f>
        <v>0</v>
      </c>
      <c r="H92" s="142">
        <f>IF(D102=1,(D103-H141)*(H89*C92+D92),0)</f>
        <v>0</v>
      </c>
      <c r="I92" s="142">
        <f>IF(D102=1,(D103-I141)*(I89*C92+D92),0)</f>
        <v>0</v>
      </c>
      <c r="J92" s="142">
        <f>IF(D102=1,(D103-J141)*(J89*C92+D92),0)</f>
        <v>0</v>
      </c>
      <c r="K92" s="142">
        <f>IF(D102=1,(D103-K141)*(K89*C92+D92),0)</f>
        <v>0</v>
      </c>
      <c r="L92" s="142">
        <f>IF(D102=1,(D103-L141)*(L89*C92+D92),0)</f>
        <v>0</v>
      </c>
      <c r="M92" s="142">
        <f>IF(D102=1,(D103-M141)*(M89*C92+D92),0)</f>
        <v>0</v>
      </c>
    </row>
    <row r="93" spans="2:13">
      <c r="B93" s="88" t="str">
        <f t="shared" ref="B93:B99" si="24">F7</f>
        <v>Term Loan 1</v>
      </c>
      <c r="C93" s="151">
        <v>1</v>
      </c>
      <c r="D93" s="152">
        <v>0.01</v>
      </c>
      <c r="F93" s="142">
        <f>IF(D102=1,AVERAGE(F142,E142)*(F89*C93+D93),0)</f>
        <v>0</v>
      </c>
      <c r="G93" s="142">
        <f>IF(D102=1,AVERAGE(G142,F142)*(G89*C93+D93),0)</f>
        <v>0</v>
      </c>
      <c r="H93" s="142">
        <f>IF(D102=1,AVERAGE(H142,G142)*(H89*C93+D93),0)</f>
        <v>0</v>
      </c>
      <c r="I93" s="142">
        <f>IF(D102=1,AVERAGE(I142,H142)*(I89*C93+D93),0)</f>
        <v>0</v>
      </c>
      <c r="J93" s="142">
        <f>IF(D102=1,AVERAGE(J142,I142)*(J89*C93+D93),0)</f>
        <v>0</v>
      </c>
      <c r="K93" s="142">
        <f>IF(D102=1,AVERAGE(K142,J142)*(K89*C93+D93),0)</f>
        <v>0</v>
      </c>
      <c r="L93" s="142">
        <f>IF(D102=1,AVERAGE(L142,K142)*(L89*C93+D93),0)</f>
        <v>0</v>
      </c>
      <c r="M93" s="142">
        <f>IF(D102=1,AVERAGE(M142,L142)*(M89*C93+D93),0)</f>
        <v>0</v>
      </c>
    </row>
    <row r="94" spans="2:13">
      <c r="B94" s="88" t="str">
        <f t="shared" si="24"/>
        <v>Term Loan 2</v>
      </c>
      <c r="C94" s="151">
        <v>1</v>
      </c>
      <c r="D94" s="152">
        <v>0.01</v>
      </c>
      <c r="F94" s="142">
        <f>IF(D102=1,AVERAGE(F143,E143)*(F89*C94+D94),0)</f>
        <v>0</v>
      </c>
      <c r="G94" s="142">
        <f>IF(D102=1,AVERAGE(G143,F143)*(G89*C94+D94),0)</f>
        <v>0</v>
      </c>
      <c r="H94" s="142">
        <f>IF(D102=1,AVERAGE(H143,G143)*(H89*C94+D94),0)</f>
        <v>0</v>
      </c>
      <c r="I94" s="142">
        <f>IF(D102=1,AVERAGE(I143,H143)*(I89*C94+D94),0)</f>
        <v>0</v>
      </c>
      <c r="J94" s="142">
        <f>IF(D102=1,AVERAGE(J143,I143)*(J89*C94+D94),0)</f>
        <v>0</v>
      </c>
      <c r="K94" s="142">
        <f>IF(D102=1,AVERAGE(K143,J143)*(K89*C94+D94),0)</f>
        <v>0</v>
      </c>
      <c r="L94" s="142">
        <f>IF(D102=1,AVERAGE(L143,K143)*(L89*C94+D94),0)</f>
        <v>0</v>
      </c>
      <c r="M94" s="142">
        <f>IF(D102=1,AVERAGE(M143,L143)*(M89*C94+D94),0)</f>
        <v>0</v>
      </c>
    </row>
    <row r="95" spans="2:13">
      <c r="B95" s="88" t="str">
        <f t="shared" si="24"/>
        <v>Term Loan 3</v>
      </c>
      <c r="C95" s="151">
        <v>1</v>
      </c>
      <c r="D95" s="152">
        <v>0.01</v>
      </c>
      <c r="F95" s="142">
        <f>IF(D102=1,AVERAGE(F144,E144)*(F89*C95+D95),0)</f>
        <v>0</v>
      </c>
      <c r="G95" s="142">
        <f>IF(D102=1,AVERAGE(G144,F144)*(G89*C95+D95),0)</f>
        <v>0</v>
      </c>
      <c r="H95" s="142">
        <f>IF(D102=1,AVERAGE(H144,G144)*(H89*C95+D95),0)</f>
        <v>0</v>
      </c>
      <c r="I95" s="142">
        <f>IF(D102=1,AVERAGE(I144,H144)*(I89*C95+D95),0)</f>
        <v>0</v>
      </c>
      <c r="J95" s="142">
        <f>IF(D102=1,AVERAGE(J144,I144)*(J89*C95+D95),0)</f>
        <v>0</v>
      </c>
      <c r="K95" s="142">
        <f>IF(D102=1,AVERAGE(K144,J144)*(K89*C95+D95),0)</f>
        <v>0</v>
      </c>
      <c r="L95" s="142">
        <f>IF(D102=1,AVERAGE(L144,K144)*(L89*C95+D95),0)</f>
        <v>0</v>
      </c>
      <c r="M95" s="142">
        <f>IF(D102=1,AVERAGE(M144,L144)*(M89*C95+D95),0)</f>
        <v>0</v>
      </c>
    </row>
    <row r="96" spans="2:13">
      <c r="B96" s="88" t="str">
        <f t="shared" si="24"/>
        <v>Secured Note 1</v>
      </c>
      <c r="C96" s="151">
        <v>1</v>
      </c>
      <c r="D96" s="152">
        <v>0.01</v>
      </c>
      <c r="F96" s="142">
        <f>IF(D102=1,AVERAGE(F145,E145)*(F89*C96+D96),0)</f>
        <v>0</v>
      </c>
      <c r="G96" s="142">
        <f>IF(D102=1,AVERAGE(G145,F145)*(G89*C96+D96),0)</f>
        <v>0</v>
      </c>
      <c r="H96" s="142">
        <f>IF(D102=1,AVERAGE(H145,G145)*(H89*C96+D96),0)</f>
        <v>0</v>
      </c>
      <c r="I96" s="142">
        <f>IF(D102=1,AVERAGE(I145,H145)*(I89*C96+D96),0)</f>
        <v>0</v>
      </c>
      <c r="J96" s="142">
        <f>IF(D102=1,AVERAGE(J145,I145)*(J89*C96+D96),0)</f>
        <v>0</v>
      </c>
      <c r="K96" s="142">
        <f>IF(D102=1,AVERAGE(K145,J145)*(K89*C96+D96),0)</f>
        <v>0</v>
      </c>
      <c r="L96" s="142">
        <f>IF(D102=1,AVERAGE(L145,K145)*(L89*C96+D96),0)</f>
        <v>0</v>
      </c>
      <c r="M96" s="142">
        <f>IF(D102=1,AVERAGE(M145,L145)*(M89*C96+D96),0)</f>
        <v>0</v>
      </c>
    </row>
    <row r="97" spans="2:13">
      <c r="B97" s="88" t="str">
        <f t="shared" si="24"/>
        <v>Secured Note 2</v>
      </c>
      <c r="C97" s="151">
        <v>1</v>
      </c>
      <c r="D97" s="152">
        <v>0.01</v>
      </c>
      <c r="F97" s="142">
        <f>IF(D102=1,AVERAGE(F146,E146)*(F89*C97+D97),0)</f>
        <v>0</v>
      </c>
      <c r="G97" s="142">
        <f>IF(D102=1,AVERAGE(G146,F146)*(G89*C97+D97),0)</f>
        <v>0</v>
      </c>
      <c r="H97" s="142">
        <f>IF(D102=1,AVERAGE(H146,G146)*(H89*C97+D97),0)</f>
        <v>0</v>
      </c>
      <c r="I97" s="142">
        <f>IF(D102=1,AVERAGE(I146,H146)*(I89*C97+D97),0)</f>
        <v>0</v>
      </c>
      <c r="J97" s="142">
        <f>IF(D102=1,AVERAGE(J146,I146)*(J89*C97+D97),0)</f>
        <v>0</v>
      </c>
      <c r="K97" s="142">
        <f>IF(D102=1,AVERAGE(K146,J146)*(K89*C97+D97),0)</f>
        <v>0</v>
      </c>
      <c r="L97" s="142">
        <f>IF(D102=1,AVERAGE(L146,K146)*(L89*C97+D97),0)</f>
        <v>0</v>
      </c>
      <c r="M97" s="142">
        <f>IF(D102=1,AVERAGE(M146,L146)*(M89*C97+D97),0)</f>
        <v>0</v>
      </c>
    </row>
    <row r="98" spans="2:13">
      <c r="B98" s="88" t="str">
        <f t="shared" si="24"/>
        <v>Unsecured Note 1</v>
      </c>
      <c r="C98" s="151">
        <v>1</v>
      </c>
      <c r="D98" s="152">
        <v>0.01</v>
      </c>
      <c r="F98" s="142">
        <f>IF(D102=1,AVERAGE(F147,E147)*(F89*C98+D98),0)</f>
        <v>0</v>
      </c>
      <c r="G98" s="142">
        <f>IF(D102=1,AVERAGE(G147,F147)*(G89*C98+D98),0)</f>
        <v>0</v>
      </c>
      <c r="H98" s="142">
        <f>IF(D102=1,AVERAGE(H147,G147)*(H89*C98+D98),0)</f>
        <v>0</v>
      </c>
      <c r="I98" s="142">
        <f>IF(D102=1,AVERAGE(I147,H147)*(I89*C98+D98),0)</f>
        <v>0</v>
      </c>
      <c r="J98" s="142">
        <f>IF(D102=1,AVERAGE(J147,I147)*(J89*C98+D98),0)</f>
        <v>0</v>
      </c>
      <c r="K98" s="142">
        <f>IF(D102=1,AVERAGE(K147,J147)*(K89*C98+D98),0)</f>
        <v>0</v>
      </c>
      <c r="L98" s="142">
        <f>IF(D102=1,AVERAGE(L147,K147)*(L89*C98+D98),0)</f>
        <v>0</v>
      </c>
      <c r="M98" s="142">
        <f>IF(D102=1,AVERAGE(M147,L147)*(M89*C98+D98),0)</f>
        <v>0</v>
      </c>
    </row>
    <row r="99" spans="2:13">
      <c r="B99" s="88" t="str">
        <f t="shared" si="24"/>
        <v>Unsecured Note 2</v>
      </c>
      <c r="C99" s="151">
        <v>1</v>
      </c>
      <c r="D99" s="152">
        <v>0.01</v>
      </c>
      <c r="F99" s="142">
        <f>IF(D102=1,AVERAGE(F148,E148)*(F89*C99+D99),0)</f>
        <v>0</v>
      </c>
      <c r="G99" s="142">
        <f>IF(D102=1,AVERAGE(G148,F148)*(G89*C99+D99),0)</f>
        <v>0</v>
      </c>
      <c r="H99" s="142">
        <f>IF(D102=1,AVERAGE(H148,G148)*(H89*C99+D99),0)</f>
        <v>0</v>
      </c>
      <c r="I99" s="142">
        <f>IF(D102=1,AVERAGE(I148,H148)*(I89*C99+D99),0)</f>
        <v>0</v>
      </c>
      <c r="J99" s="142">
        <f>IF(D102=1,AVERAGE(J148,I148)*(J89*C99+D99),0)</f>
        <v>0</v>
      </c>
      <c r="K99" s="142">
        <f>IF(D102=1,AVERAGE(K148,J148)*(K89*C99+D99),0)</f>
        <v>0</v>
      </c>
      <c r="L99" s="142">
        <f>IF(D102=1,AVERAGE(L148,K148)*(L89*C99+D99),0)</f>
        <v>0</v>
      </c>
      <c r="M99" s="142">
        <f>IF(D102=1,AVERAGE(M148,L148)*(M89*C99+D99),0)</f>
        <v>0</v>
      </c>
    </row>
    <row r="100" spans="2:13">
      <c r="B100" s="88" t="str">
        <f>'Balance Sheet'!C34</f>
        <v>Short-term borrowings</v>
      </c>
      <c r="C100" s="151">
        <v>1</v>
      </c>
      <c r="D100" s="152">
        <v>0.01</v>
      </c>
      <c r="F100" s="142">
        <f>IF(D102=1,AVERAGE(F149,E149)*(F89*C100+D100),0)</f>
        <v>0</v>
      </c>
      <c r="G100" s="142">
        <f>IF(D102=1,AVERAGE(G149,F149)*(G89*C100+D100),0)</f>
        <v>0</v>
      </c>
      <c r="H100" s="142">
        <f>IF(D102=1,AVERAGE(H149,G149)*(H89*C100+D100),0)</f>
        <v>0</v>
      </c>
      <c r="I100" s="142">
        <f>IF(D102=1,AVERAGE(I149,H149)*(I89*C100+D100),0)</f>
        <v>0</v>
      </c>
      <c r="J100" s="142">
        <f>IF(D102=1,AVERAGE(J149,I149)*(J89*C100+D100),0)</f>
        <v>0</v>
      </c>
      <c r="K100" s="142">
        <f>IF(D102=1,AVERAGE(K149,J149)*(K89*C100+D100),0)</f>
        <v>0</v>
      </c>
      <c r="L100" s="142">
        <f>IF(D102=1,AVERAGE(L149,K149)*(L89*C100+D100),0)</f>
        <v>0</v>
      </c>
      <c r="M100" s="142">
        <f>IF(D102=1,AVERAGE(M149,L149)*(M89*C100+D100),0)</f>
        <v>0</v>
      </c>
    </row>
    <row r="101" spans="2:13">
      <c r="B101" s="88" t="str">
        <f>'Balance Sheet'!C35</f>
        <v>Long-term debt</v>
      </c>
      <c r="C101" s="151">
        <v>1</v>
      </c>
      <c r="D101" s="152">
        <v>0.01</v>
      </c>
      <c r="F101" s="142">
        <f>IF(D102=1,AVERAGE(F150,E150)*(F89*C101+D101),0)</f>
        <v>0</v>
      </c>
      <c r="G101" s="142">
        <f>IF(D102=1,AVERAGE(G150,F150)*(G89*C101+D101),0)</f>
        <v>0</v>
      </c>
      <c r="H101" s="142">
        <f>IF(D102=1,AVERAGE(H150,G150)*(H89*C101+D101),0)</f>
        <v>0</v>
      </c>
      <c r="I101" s="142">
        <f>IF(D102=1,AVERAGE(I150,H150)*(I89*C101+D101),0)</f>
        <v>0</v>
      </c>
      <c r="J101" s="142">
        <f>IF(D102=1,AVERAGE(J150,I150)*(J89*C101+D101),0)</f>
        <v>0</v>
      </c>
      <c r="K101" s="142">
        <f>IF(D102=1,AVERAGE(K150,J150)*(K89*C101+D101),0)</f>
        <v>0</v>
      </c>
      <c r="L101" s="142">
        <f>IF(D102=1,AVERAGE(L150,K150)*(L89*C101+D101),0)</f>
        <v>0</v>
      </c>
      <c r="M101" s="142">
        <f>IF(D102=1,AVERAGE(M150,L150)*(M89*C101+D101),0)</f>
        <v>0</v>
      </c>
    </row>
    <row r="102" spans="2:13">
      <c r="B102" s="88" t="s">
        <v>99</v>
      </c>
      <c r="C102" s="88" t="s">
        <v>100</v>
      </c>
      <c r="D102" s="153">
        <v>0</v>
      </c>
      <c r="F102" s="138">
        <f t="shared" ref="F102:M102" si="25">SUM(F90:F101)</f>
        <v>0</v>
      </c>
      <c r="G102" s="138">
        <f t="shared" si="25"/>
        <v>0</v>
      </c>
      <c r="H102" s="138">
        <f t="shared" si="25"/>
        <v>0</v>
      </c>
      <c r="I102" s="138">
        <f t="shared" si="25"/>
        <v>0</v>
      </c>
      <c r="J102" s="138">
        <f t="shared" si="25"/>
        <v>0</v>
      </c>
      <c r="K102" s="138">
        <f t="shared" si="25"/>
        <v>0</v>
      </c>
      <c r="L102" s="138">
        <f t="shared" si="25"/>
        <v>0</v>
      </c>
      <c r="M102" s="138">
        <f t="shared" si="25"/>
        <v>0</v>
      </c>
    </row>
    <row r="103" spans="2:13">
      <c r="C103" s="88" t="s">
        <v>101</v>
      </c>
      <c r="D103" s="143">
        <v>500</v>
      </c>
    </row>
    <row r="105" spans="2:13">
      <c r="B105" s="130" t="s">
        <v>102</v>
      </c>
      <c r="C105" s="131"/>
      <c r="D105" s="131"/>
      <c r="E105" s="131"/>
      <c r="F105" s="131"/>
      <c r="G105" s="131"/>
      <c r="H105" s="131"/>
      <c r="I105" s="131"/>
      <c r="J105" s="131"/>
      <c r="K105" s="131"/>
      <c r="L105" s="131"/>
      <c r="M105" s="131"/>
    </row>
    <row r="106" spans="2:13" ht="3" customHeight="1"/>
    <row r="107" spans="2:13">
      <c r="F107" s="132">
        <f t="shared" ref="F107:M107" si="26">F23</f>
        <v>2018</v>
      </c>
      <c r="G107" s="132">
        <f t="shared" si="26"/>
        <v>2019</v>
      </c>
      <c r="H107" s="132">
        <f t="shared" si="26"/>
        <v>2020</v>
      </c>
      <c r="I107" s="132">
        <f t="shared" si="26"/>
        <v>2021</v>
      </c>
      <c r="J107" s="132">
        <f t="shared" si="26"/>
        <v>2022</v>
      </c>
      <c r="K107" s="132">
        <f t="shared" si="26"/>
        <v>2023</v>
      </c>
      <c r="L107" s="132">
        <f t="shared" si="26"/>
        <v>2024</v>
      </c>
      <c r="M107" s="132">
        <f t="shared" si="26"/>
        <v>2025</v>
      </c>
    </row>
    <row r="108" spans="2:13" ht="3" customHeight="1"/>
    <row r="109" spans="2:13">
      <c r="B109" s="88" t="s">
        <v>4</v>
      </c>
      <c r="F109" s="133">
        <f>'Operating Model'!G30</f>
        <v>1286.1647993746747</v>
      </c>
      <c r="G109" s="133">
        <f>'Operating Model'!H30</f>
        <v>1293.3697350668463</v>
      </c>
      <c r="H109" s="133">
        <f>'Operating Model'!I30</f>
        <v>1300.6150319151884</v>
      </c>
      <c r="I109" s="133">
        <f>'Operating Model'!J30</f>
        <v>1307.9009160178921</v>
      </c>
      <c r="J109" s="133">
        <f>'Operating Model'!K30</f>
        <v>1315.2276147397215</v>
      </c>
      <c r="K109" s="133">
        <f>'Operating Model'!L30</f>
        <v>1322.5953567191127</v>
      </c>
      <c r="L109" s="133">
        <f>'Operating Model'!M30</f>
        <v>1330.0043718753041</v>
      </c>
      <c r="M109" s="133">
        <f>'Operating Model'!N30</f>
        <v>1337.4548914155112</v>
      </c>
    </row>
    <row r="110" spans="2:13">
      <c r="B110" s="88" t="s">
        <v>103</v>
      </c>
      <c r="F110" s="142">
        <f t="shared" ref="F110:M110" si="27">F102</f>
        <v>0</v>
      </c>
      <c r="G110" s="142">
        <f t="shared" si="27"/>
        <v>0</v>
      </c>
      <c r="H110" s="142">
        <f t="shared" si="27"/>
        <v>0</v>
      </c>
      <c r="I110" s="142">
        <f t="shared" si="27"/>
        <v>0</v>
      </c>
      <c r="J110" s="142">
        <f t="shared" si="27"/>
        <v>0</v>
      </c>
      <c r="K110" s="142">
        <f t="shared" si="27"/>
        <v>0</v>
      </c>
      <c r="L110" s="142">
        <f t="shared" si="27"/>
        <v>0</v>
      </c>
      <c r="M110" s="142">
        <f t="shared" si="27"/>
        <v>0</v>
      </c>
    </row>
    <row r="111" spans="2:13">
      <c r="B111" s="88" t="s">
        <v>104</v>
      </c>
      <c r="F111" s="88">
        <f>M7/8</f>
        <v>12.5</v>
      </c>
      <c r="G111" s="88">
        <f>M7/8</f>
        <v>12.5</v>
      </c>
      <c r="H111" s="88">
        <f>M7/8</f>
        <v>12.5</v>
      </c>
      <c r="I111" s="88">
        <f>M7/8</f>
        <v>12.5</v>
      </c>
      <c r="J111" s="88">
        <f>M7/8</f>
        <v>12.5</v>
      </c>
      <c r="K111" s="88">
        <f>M7/8</f>
        <v>12.5</v>
      </c>
      <c r="L111" s="88">
        <f>M7/8</f>
        <v>12.5</v>
      </c>
      <c r="M111" s="88">
        <f>M7/8</f>
        <v>12.5</v>
      </c>
    </row>
    <row r="112" spans="2:13">
      <c r="B112" s="88" t="s">
        <v>105</v>
      </c>
      <c r="F112" s="134">
        <f>'Operating Model'!G37</f>
        <v>0</v>
      </c>
      <c r="G112" s="134">
        <f>'Operating Model'!H37</f>
        <v>0</v>
      </c>
      <c r="H112" s="134">
        <f>'Operating Model'!I37</f>
        <v>0</v>
      </c>
      <c r="I112" s="134">
        <f>'Operating Model'!J37</f>
        <v>0</v>
      </c>
      <c r="J112" s="134">
        <f>'Operating Model'!K37</f>
        <v>0</v>
      </c>
      <c r="K112" s="134">
        <f>'Operating Model'!L37</f>
        <v>0</v>
      </c>
      <c r="L112" s="134">
        <f>'Operating Model'!M37</f>
        <v>0</v>
      </c>
      <c r="M112" s="134">
        <f>'Operating Model'!N37</f>
        <v>0</v>
      </c>
    </row>
    <row r="113" spans="2:13">
      <c r="B113" s="88" t="s">
        <v>106</v>
      </c>
      <c r="F113" s="138">
        <f t="shared" ref="F113:M113" si="28">F109-F110-F112-F111</f>
        <v>1273.6647993746747</v>
      </c>
      <c r="G113" s="138">
        <f t="shared" si="28"/>
        <v>1280.8697350668463</v>
      </c>
      <c r="H113" s="138">
        <f t="shared" si="28"/>
        <v>1288.1150319151884</v>
      </c>
      <c r="I113" s="138">
        <f t="shared" si="28"/>
        <v>1295.4009160178921</v>
      </c>
      <c r="J113" s="138">
        <f t="shared" si="28"/>
        <v>1302.7276147397215</v>
      </c>
      <c r="K113" s="138">
        <f t="shared" si="28"/>
        <v>1310.0953567191127</v>
      </c>
      <c r="L113" s="138">
        <f t="shared" si="28"/>
        <v>1317.5043718753041</v>
      </c>
      <c r="M113" s="138">
        <f t="shared" si="28"/>
        <v>1324.9548914155112</v>
      </c>
    </row>
    <row r="114" spans="2:13">
      <c r="B114" s="88" t="s">
        <v>78</v>
      </c>
      <c r="C114" s="154">
        <v>0.35</v>
      </c>
      <c r="F114" s="142">
        <f>C114*F113</f>
        <v>445.7826797811361</v>
      </c>
      <c r="G114" s="142">
        <f>C114*G113</f>
        <v>448.30440727339618</v>
      </c>
      <c r="H114" s="142">
        <f>C114*H113</f>
        <v>450.8402611703159</v>
      </c>
      <c r="I114" s="142">
        <f>C114*I113</f>
        <v>453.39032060626221</v>
      </c>
      <c r="J114" s="142">
        <f>C114*J113</f>
        <v>455.95466515890251</v>
      </c>
      <c r="K114" s="142">
        <f>C114*K113</f>
        <v>458.53337485168942</v>
      </c>
      <c r="L114" s="142">
        <f>C114*L113</f>
        <v>461.12653015635641</v>
      </c>
      <c r="M114" s="142">
        <f>C114*M113</f>
        <v>463.73421199542889</v>
      </c>
    </row>
    <row r="115" spans="2:13">
      <c r="B115" s="88" t="s">
        <v>107</v>
      </c>
      <c r="F115" s="138">
        <f t="shared" ref="F115:M115" si="29">F113-F114</f>
        <v>827.88211959353862</v>
      </c>
      <c r="G115" s="138">
        <f t="shared" si="29"/>
        <v>832.56532779345002</v>
      </c>
      <c r="H115" s="138">
        <f t="shared" si="29"/>
        <v>837.27477074487251</v>
      </c>
      <c r="I115" s="138">
        <f t="shared" si="29"/>
        <v>842.01059541162988</v>
      </c>
      <c r="J115" s="138">
        <f t="shared" si="29"/>
        <v>846.77294958081893</v>
      </c>
      <c r="K115" s="138">
        <f t="shared" si="29"/>
        <v>851.56198186742336</v>
      </c>
      <c r="L115" s="138">
        <f t="shared" si="29"/>
        <v>856.37784171894759</v>
      </c>
      <c r="M115" s="138">
        <f t="shared" si="29"/>
        <v>861.22067942008221</v>
      </c>
    </row>
    <row r="117" spans="2:13">
      <c r="B117" s="130" t="s">
        <v>108</v>
      </c>
      <c r="C117" s="131"/>
      <c r="D117" s="131"/>
      <c r="E117" s="131"/>
      <c r="F117" s="131"/>
      <c r="G117" s="131"/>
      <c r="H117" s="131"/>
      <c r="I117" s="131"/>
      <c r="J117" s="131"/>
      <c r="K117" s="131"/>
      <c r="L117" s="131"/>
      <c r="M117" s="131"/>
    </row>
    <row r="118" spans="2:13" ht="3" customHeight="1"/>
    <row r="119" spans="2:13">
      <c r="C119" s="146" t="s">
        <v>109</v>
      </c>
      <c r="D119" s="155" t="s">
        <v>110</v>
      </c>
      <c r="E119" s="146" t="s">
        <v>111</v>
      </c>
      <c r="F119" s="132">
        <f t="shared" ref="F119:M119" si="30">F23</f>
        <v>2018</v>
      </c>
      <c r="G119" s="132">
        <f t="shared" si="30"/>
        <v>2019</v>
      </c>
      <c r="H119" s="132">
        <f t="shared" si="30"/>
        <v>2020</v>
      </c>
      <c r="I119" s="132">
        <f t="shared" si="30"/>
        <v>2021</v>
      </c>
      <c r="J119" s="132">
        <f t="shared" si="30"/>
        <v>2022</v>
      </c>
      <c r="K119" s="132">
        <f t="shared" si="30"/>
        <v>2023</v>
      </c>
      <c r="L119" s="132">
        <f t="shared" si="30"/>
        <v>2024</v>
      </c>
      <c r="M119" s="132">
        <f t="shared" si="30"/>
        <v>2025</v>
      </c>
    </row>
    <row r="120" spans="2:13" ht="3" customHeight="1"/>
    <row r="121" spans="2:13">
      <c r="B121" s="88" t="s">
        <v>112</v>
      </c>
      <c r="C121" s="133">
        <f>'Balance Sheet'!E9</f>
        <v>484</v>
      </c>
      <c r="D121" s="141">
        <f>-I5</f>
        <v>0</v>
      </c>
      <c r="E121" s="141">
        <f>C121+D121</f>
        <v>484</v>
      </c>
      <c r="F121" s="141">
        <f t="shared" ref="F121:M121" si="31">E121+F71-F83</f>
        <v>919.53623632100107</v>
      </c>
      <c r="G121" s="141">
        <f t="shared" si="31"/>
        <v>1759.728534804821</v>
      </c>
      <c r="H121" s="141">
        <f t="shared" si="31"/>
        <v>2604.6029781342386</v>
      </c>
      <c r="I121" s="141">
        <f t="shared" si="31"/>
        <v>3454.1857951039847</v>
      </c>
      <c r="J121" s="141">
        <f t="shared" si="31"/>
        <v>4308.503361439246</v>
      </c>
      <c r="K121" s="141">
        <f t="shared" si="31"/>
        <v>5167.5822006187518</v>
      </c>
      <c r="L121" s="141">
        <f t="shared" si="31"/>
        <v>6031.4489847024679</v>
      </c>
      <c r="M121" s="141">
        <f t="shared" si="31"/>
        <v>6900.1305351639321</v>
      </c>
    </row>
    <row r="123" spans="2:13">
      <c r="B123" s="88" t="s">
        <v>113</v>
      </c>
      <c r="C123" s="133">
        <f>'Working Capital'!E14</f>
        <v>1479</v>
      </c>
      <c r="D123" s="141">
        <v>0</v>
      </c>
      <c r="E123" s="141">
        <f>C123+D123</f>
        <v>1479</v>
      </c>
      <c r="F123" s="133">
        <f>'Working Capital'!F14</f>
        <v>1487.2851745700884</v>
      </c>
      <c r="G123" s="133">
        <f>'Working Capital'!G14</f>
        <v>1495.6167616605669</v>
      </c>
      <c r="H123" s="133">
        <f>'Working Capital'!H14</f>
        <v>1503.9950212686183</v>
      </c>
      <c r="I123" s="133">
        <f>'Working Capital'!I14</f>
        <v>1512.4202148478978</v>
      </c>
      <c r="J123" s="133">
        <f>'Working Capital'!J14</f>
        <v>1520.8926053166915</v>
      </c>
      <c r="K123" s="133">
        <f>'Working Capital'!K14</f>
        <v>1529.4124570661206</v>
      </c>
      <c r="L123" s="133">
        <f>'Working Capital'!L14</f>
        <v>1537.9800359683927</v>
      </c>
      <c r="M123" s="133">
        <f>'Working Capital'!M14</f>
        <v>1546.5956093850991</v>
      </c>
    </row>
    <row r="125" spans="2:13">
      <c r="B125" s="88" t="s">
        <v>114</v>
      </c>
    </row>
    <row r="126" spans="2:13">
      <c r="B126" s="137" t="str">
        <f>'Balance Sheet'!C18</f>
        <v>Plant assets, net of depreciation</v>
      </c>
      <c r="C126" s="133">
        <f>'Balance Sheet'!E18</f>
        <v>2103</v>
      </c>
      <c r="D126" s="141">
        <v>0</v>
      </c>
      <c r="E126" s="141">
        <f>C126+D126</f>
        <v>2103</v>
      </c>
      <c r="F126" s="141">
        <f t="shared" ref="F126:M126" si="32">E126-F34-F27</f>
        <v>2107.0224075039082</v>
      </c>
      <c r="G126" s="141">
        <f t="shared" si="32"/>
        <v>2111.0673480357827</v>
      </c>
      <c r="H126" s="141">
        <f t="shared" si="32"/>
        <v>2115.1349478228512</v>
      </c>
      <c r="I126" s="141">
        <f t="shared" si="32"/>
        <v>2119.2253337994516</v>
      </c>
      <c r="J126" s="141">
        <f t="shared" si="32"/>
        <v>2123.3386336109911</v>
      </c>
      <c r="K126" s="141">
        <f t="shared" si="32"/>
        <v>2127.4749756179312</v>
      </c>
      <c r="L126" s="141">
        <f t="shared" si="32"/>
        <v>2131.6344888997928</v>
      </c>
      <c r="M126" s="141">
        <f t="shared" si="32"/>
        <v>2135.8173032591844</v>
      </c>
    </row>
    <row r="127" spans="2:13">
      <c r="B127" s="137" t="str">
        <f>'Balance Sheet'!C19</f>
        <v>Goodwill</v>
      </c>
      <c r="C127" s="134">
        <f>'Balance Sheet'!E19</f>
        <v>2133</v>
      </c>
      <c r="D127" s="142">
        <f>M5+M6-C153</f>
        <v>4039</v>
      </c>
      <c r="E127" s="142">
        <f>C127+D127</f>
        <v>6172</v>
      </c>
      <c r="F127" s="142">
        <f t="shared" ref="F127:M129" si="33">E127</f>
        <v>6172</v>
      </c>
      <c r="G127" s="142">
        <f t="shared" si="33"/>
        <v>6172</v>
      </c>
      <c r="H127" s="142">
        <f t="shared" si="33"/>
        <v>6172</v>
      </c>
      <c r="I127" s="142">
        <f t="shared" si="33"/>
        <v>6172</v>
      </c>
      <c r="J127" s="142">
        <f t="shared" si="33"/>
        <v>6172</v>
      </c>
      <c r="K127" s="142">
        <f t="shared" si="33"/>
        <v>6172</v>
      </c>
      <c r="L127" s="142">
        <f t="shared" si="33"/>
        <v>6172</v>
      </c>
      <c r="M127" s="142">
        <f t="shared" si="33"/>
        <v>6172</v>
      </c>
    </row>
    <row r="128" spans="2:13">
      <c r="B128" s="137" t="str">
        <f>'Balance Sheet'!C20</f>
        <v>Other intangible assets, net of amortization</v>
      </c>
      <c r="C128" s="134">
        <f>'Balance Sheet'!E20</f>
        <v>527</v>
      </c>
      <c r="D128" s="142">
        <v>0</v>
      </c>
      <c r="E128" s="142">
        <f>C128+D128</f>
        <v>527</v>
      </c>
      <c r="F128" s="142">
        <f t="shared" si="33"/>
        <v>527</v>
      </c>
      <c r="G128" s="142">
        <f t="shared" si="33"/>
        <v>527</v>
      </c>
      <c r="H128" s="142">
        <f t="shared" si="33"/>
        <v>527</v>
      </c>
      <c r="I128" s="142">
        <f t="shared" si="33"/>
        <v>527</v>
      </c>
      <c r="J128" s="142">
        <f t="shared" si="33"/>
        <v>527</v>
      </c>
      <c r="K128" s="142">
        <f t="shared" si="33"/>
        <v>527</v>
      </c>
      <c r="L128" s="142">
        <f t="shared" si="33"/>
        <v>527</v>
      </c>
      <c r="M128" s="142">
        <f t="shared" si="33"/>
        <v>527</v>
      </c>
    </row>
    <row r="129" spans="2:13">
      <c r="B129" s="137" t="str">
        <f>'Balance Sheet'!C21</f>
        <v>Other assets</v>
      </c>
      <c r="C129" s="134">
        <f>'Balance Sheet'!E21</f>
        <v>136</v>
      </c>
      <c r="D129" s="142">
        <v>0</v>
      </c>
      <c r="E129" s="142">
        <f>C129+D129</f>
        <v>136</v>
      </c>
      <c r="F129" s="142">
        <f t="shared" si="33"/>
        <v>136</v>
      </c>
      <c r="G129" s="142">
        <f t="shared" si="33"/>
        <v>136</v>
      </c>
      <c r="H129" s="142">
        <f t="shared" si="33"/>
        <v>136</v>
      </c>
      <c r="I129" s="142">
        <f t="shared" si="33"/>
        <v>136</v>
      </c>
      <c r="J129" s="142">
        <f t="shared" si="33"/>
        <v>136</v>
      </c>
      <c r="K129" s="142">
        <f t="shared" si="33"/>
        <v>136</v>
      </c>
      <c r="L129" s="142">
        <f t="shared" si="33"/>
        <v>136</v>
      </c>
      <c r="M129" s="142">
        <f t="shared" si="33"/>
        <v>136</v>
      </c>
    </row>
    <row r="130" spans="2:13">
      <c r="B130" s="137" t="s">
        <v>115</v>
      </c>
      <c r="C130" s="142">
        <v>0</v>
      </c>
      <c r="D130" s="142">
        <f>M7</f>
        <v>100</v>
      </c>
      <c r="E130" s="142">
        <f>C130+D130</f>
        <v>100</v>
      </c>
      <c r="F130" s="142">
        <f t="shared" ref="F130:M130" si="34">E130-F111</f>
        <v>87.5</v>
      </c>
      <c r="G130" s="142">
        <f t="shared" si="34"/>
        <v>75</v>
      </c>
      <c r="H130" s="142">
        <f t="shared" si="34"/>
        <v>62.5</v>
      </c>
      <c r="I130" s="142">
        <f t="shared" si="34"/>
        <v>50</v>
      </c>
      <c r="J130" s="142">
        <f t="shared" si="34"/>
        <v>37.5</v>
      </c>
      <c r="K130" s="142">
        <f t="shared" si="34"/>
        <v>25</v>
      </c>
      <c r="L130" s="142">
        <f t="shared" si="34"/>
        <v>12.5</v>
      </c>
      <c r="M130" s="142">
        <f t="shared" si="34"/>
        <v>0</v>
      </c>
    </row>
    <row r="131" spans="2:13">
      <c r="B131" s="88" t="s">
        <v>116</v>
      </c>
      <c r="C131" s="138">
        <f>C121+C123+SUM(C126:C130)</f>
        <v>6862</v>
      </c>
      <c r="E131" s="138">
        <f t="shared" ref="E131:M131" si="35">E121+E123+SUM(E126:E130)</f>
        <v>11001</v>
      </c>
      <c r="F131" s="138">
        <f t="shared" si="35"/>
        <v>11436.343818394998</v>
      </c>
      <c r="G131" s="138">
        <f t="shared" si="35"/>
        <v>12276.412644501172</v>
      </c>
      <c r="H131" s="138">
        <f t="shared" si="35"/>
        <v>13121.232947225708</v>
      </c>
      <c r="I131" s="138">
        <f t="shared" si="35"/>
        <v>13970.831343751335</v>
      </c>
      <c r="J131" s="138">
        <f t="shared" si="35"/>
        <v>14825.234600366928</v>
      </c>
      <c r="K131" s="138">
        <f t="shared" si="35"/>
        <v>15684.469633302804</v>
      </c>
      <c r="L131" s="138">
        <f t="shared" si="35"/>
        <v>16548.563509570653</v>
      </c>
      <c r="M131" s="138">
        <f t="shared" si="35"/>
        <v>17417.543447808217</v>
      </c>
    </row>
    <row r="133" spans="2:13">
      <c r="B133" s="88" t="s">
        <v>117</v>
      </c>
      <c r="C133" s="133">
        <f>'Working Capital'!E21</f>
        <v>1332</v>
      </c>
      <c r="D133" s="141">
        <v>0</v>
      </c>
      <c r="E133" s="141">
        <f>C133+D133</f>
        <v>1332</v>
      </c>
      <c r="F133" s="133">
        <f>'Working Capital'!F21</f>
        <v>1339.4616988014591</v>
      </c>
      <c r="G133" s="133">
        <f>'Working Capital'!G21</f>
        <v>1346.965197114182</v>
      </c>
      <c r="H133" s="133">
        <f>'Working Capital'!H21</f>
        <v>1354.510729093847</v>
      </c>
      <c r="I133" s="133">
        <f>'Working Capital'!I21</f>
        <v>1362.0985302078429</v>
      </c>
      <c r="J133" s="133">
        <f>'Working Capital'!J21</f>
        <v>1369.7288372426183</v>
      </c>
      <c r="K133" s="133">
        <f>'Working Capital'!K21</f>
        <v>1377.4018883110696</v>
      </c>
      <c r="L133" s="133">
        <f>'Working Capital'!L21</f>
        <v>1385.1179228599722</v>
      </c>
      <c r="M133" s="133">
        <f>'Working Capital'!M21</f>
        <v>1392.8771816774522</v>
      </c>
    </row>
    <row r="135" spans="2:13">
      <c r="B135" s="88" t="s">
        <v>118</v>
      </c>
    </row>
    <row r="136" spans="2:13">
      <c r="B136" s="137" t="str">
        <f>'Balance Sheet'!C39</f>
        <v>Deferred taxes</v>
      </c>
      <c r="C136" s="133">
        <f>'Balance Sheet'!E39</f>
        <v>367</v>
      </c>
      <c r="D136" s="141">
        <v>0</v>
      </c>
      <c r="E136" s="141">
        <f>C136+D136</f>
        <v>367</v>
      </c>
      <c r="F136" s="141">
        <f t="shared" ref="F136:M137" si="36">E136</f>
        <v>367</v>
      </c>
      <c r="G136" s="141">
        <f t="shared" si="36"/>
        <v>367</v>
      </c>
      <c r="H136" s="141">
        <f t="shared" si="36"/>
        <v>367</v>
      </c>
      <c r="I136" s="141">
        <f t="shared" si="36"/>
        <v>367</v>
      </c>
      <c r="J136" s="141">
        <f t="shared" si="36"/>
        <v>367</v>
      </c>
      <c r="K136" s="141">
        <f t="shared" si="36"/>
        <v>367</v>
      </c>
      <c r="L136" s="141">
        <f t="shared" si="36"/>
        <v>367</v>
      </c>
      <c r="M136" s="141">
        <f t="shared" si="36"/>
        <v>367</v>
      </c>
    </row>
    <row r="137" spans="2:13">
      <c r="B137" s="137" t="str">
        <f>'Balance Sheet'!C40</f>
        <v>Other liabilities</v>
      </c>
      <c r="C137" s="134">
        <f>'Balance Sheet'!E40</f>
        <v>983</v>
      </c>
      <c r="D137" s="142">
        <v>0</v>
      </c>
      <c r="E137" s="142">
        <f>C137+D137</f>
        <v>983</v>
      </c>
      <c r="F137" s="142">
        <f t="shared" si="36"/>
        <v>983</v>
      </c>
      <c r="G137" s="142">
        <f t="shared" si="36"/>
        <v>983</v>
      </c>
      <c r="H137" s="142">
        <f t="shared" si="36"/>
        <v>983</v>
      </c>
      <c r="I137" s="142">
        <f t="shared" si="36"/>
        <v>983</v>
      </c>
      <c r="J137" s="142">
        <f t="shared" si="36"/>
        <v>983</v>
      </c>
      <c r="K137" s="142">
        <f t="shared" si="36"/>
        <v>983</v>
      </c>
      <c r="L137" s="142">
        <f t="shared" si="36"/>
        <v>983</v>
      </c>
      <c r="M137" s="142">
        <f t="shared" si="36"/>
        <v>983</v>
      </c>
    </row>
    <row r="140" spans="2:13">
      <c r="B140" s="88" t="s">
        <v>119</v>
      </c>
    </row>
    <row r="141" spans="2:13">
      <c r="B141" s="137" t="str">
        <f t="shared" ref="B141:B148" si="37">F6</f>
        <v>Revolver</v>
      </c>
      <c r="C141" s="141">
        <v>0</v>
      </c>
      <c r="D141" s="141">
        <f t="shared" ref="D141:D148" si="38">I6</f>
        <v>100</v>
      </c>
      <c r="E141" s="141">
        <f t="shared" ref="E141:E150" si="39">C141+D141</f>
        <v>100</v>
      </c>
      <c r="F141" s="141">
        <f t="shared" ref="F141:M144" si="40">E141-F79-F55</f>
        <v>0</v>
      </c>
      <c r="G141" s="141">
        <f t="shared" si="40"/>
        <v>0</v>
      </c>
      <c r="H141" s="141">
        <f t="shared" si="40"/>
        <v>0</v>
      </c>
      <c r="I141" s="141">
        <f t="shared" si="40"/>
        <v>0</v>
      </c>
      <c r="J141" s="141">
        <f t="shared" si="40"/>
        <v>0</v>
      </c>
      <c r="K141" s="141">
        <f t="shared" si="40"/>
        <v>0</v>
      </c>
      <c r="L141" s="141">
        <f t="shared" si="40"/>
        <v>0</v>
      </c>
      <c r="M141" s="141">
        <f t="shared" si="40"/>
        <v>0</v>
      </c>
    </row>
    <row r="142" spans="2:13">
      <c r="B142" s="137" t="str">
        <f t="shared" si="37"/>
        <v>Term Loan 1</v>
      </c>
      <c r="C142" s="142">
        <v>0</v>
      </c>
      <c r="D142" s="142">
        <f t="shared" si="38"/>
        <v>100</v>
      </c>
      <c r="E142" s="142">
        <f t="shared" si="39"/>
        <v>100</v>
      </c>
      <c r="F142" s="142">
        <f t="shared" si="40"/>
        <v>0</v>
      </c>
      <c r="G142" s="142">
        <f t="shared" si="40"/>
        <v>0</v>
      </c>
      <c r="H142" s="142">
        <f t="shared" si="40"/>
        <v>0</v>
      </c>
      <c r="I142" s="142">
        <f t="shared" si="40"/>
        <v>0</v>
      </c>
      <c r="J142" s="142">
        <f t="shared" si="40"/>
        <v>0</v>
      </c>
      <c r="K142" s="142">
        <f t="shared" si="40"/>
        <v>0</v>
      </c>
      <c r="L142" s="142">
        <f t="shared" si="40"/>
        <v>0</v>
      </c>
      <c r="M142" s="142">
        <f t="shared" si="40"/>
        <v>0</v>
      </c>
    </row>
    <row r="143" spans="2:13">
      <c r="B143" s="137" t="str">
        <f t="shared" si="37"/>
        <v>Term Loan 2</v>
      </c>
      <c r="C143" s="142">
        <v>0</v>
      </c>
      <c r="D143" s="142">
        <f t="shared" si="38"/>
        <v>100</v>
      </c>
      <c r="E143" s="142">
        <f t="shared" si="39"/>
        <v>100</v>
      </c>
      <c r="F143" s="142">
        <f t="shared" si="40"/>
        <v>0</v>
      </c>
      <c r="G143" s="142">
        <f t="shared" si="40"/>
        <v>0</v>
      </c>
      <c r="H143" s="142">
        <f t="shared" si="40"/>
        <v>0</v>
      </c>
      <c r="I143" s="142">
        <f t="shared" si="40"/>
        <v>0</v>
      </c>
      <c r="J143" s="142">
        <f t="shared" si="40"/>
        <v>0</v>
      </c>
      <c r="K143" s="142">
        <f t="shared" si="40"/>
        <v>0</v>
      </c>
      <c r="L143" s="142">
        <f t="shared" si="40"/>
        <v>0</v>
      </c>
      <c r="M143" s="142">
        <f t="shared" si="40"/>
        <v>0</v>
      </c>
    </row>
    <row r="144" spans="2:13">
      <c r="B144" s="137" t="str">
        <f t="shared" si="37"/>
        <v>Term Loan 3</v>
      </c>
      <c r="C144" s="142">
        <v>0</v>
      </c>
      <c r="D144" s="142">
        <f t="shared" si="38"/>
        <v>100</v>
      </c>
      <c r="E144" s="142">
        <f t="shared" si="39"/>
        <v>100</v>
      </c>
      <c r="F144" s="142">
        <f t="shared" si="40"/>
        <v>0</v>
      </c>
      <c r="G144" s="142">
        <f t="shared" si="40"/>
        <v>0</v>
      </c>
      <c r="H144" s="142">
        <f t="shared" si="40"/>
        <v>0</v>
      </c>
      <c r="I144" s="142">
        <f t="shared" si="40"/>
        <v>0</v>
      </c>
      <c r="J144" s="142">
        <f t="shared" si="40"/>
        <v>0</v>
      </c>
      <c r="K144" s="142">
        <f t="shared" si="40"/>
        <v>0</v>
      </c>
      <c r="L144" s="142">
        <f t="shared" si="40"/>
        <v>0</v>
      </c>
      <c r="M144" s="142">
        <f t="shared" si="40"/>
        <v>0</v>
      </c>
    </row>
    <row r="145" spans="2:13">
      <c r="B145" s="137" t="str">
        <f t="shared" si="37"/>
        <v>Secured Note 1</v>
      </c>
      <c r="C145" s="142">
        <v>0</v>
      </c>
      <c r="D145" s="142">
        <f t="shared" si="38"/>
        <v>100</v>
      </c>
      <c r="E145" s="142">
        <f t="shared" si="39"/>
        <v>100</v>
      </c>
      <c r="F145" s="142">
        <f t="shared" ref="F145:M150" si="41">E145-F59</f>
        <v>100</v>
      </c>
      <c r="G145" s="142">
        <f t="shared" si="41"/>
        <v>100</v>
      </c>
      <c r="H145" s="142">
        <f t="shared" si="41"/>
        <v>100</v>
      </c>
      <c r="I145" s="142">
        <f t="shared" si="41"/>
        <v>100</v>
      </c>
      <c r="J145" s="142">
        <f t="shared" si="41"/>
        <v>100</v>
      </c>
      <c r="K145" s="142">
        <f t="shared" si="41"/>
        <v>100</v>
      </c>
      <c r="L145" s="142">
        <f t="shared" si="41"/>
        <v>100</v>
      </c>
      <c r="M145" s="142">
        <f t="shared" si="41"/>
        <v>100</v>
      </c>
    </row>
    <row r="146" spans="2:13">
      <c r="B146" s="137" t="str">
        <f t="shared" si="37"/>
        <v>Secured Note 2</v>
      </c>
      <c r="C146" s="142">
        <v>0</v>
      </c>
      <c r="D146" s="142">
        <f t="shared" si="38"/>
        <v>100</v>
      </c>
      <c r="E146" s="142">
        <f t="shared" si="39"/>
        <v>100</v>
      </c>
      <c r="F146" s="142">
        <f t="shared" si="41"/>
        <v>100</v>
      </c>
      <c r="G146" s="142">
        <f t="shared" si="41"/>
        <v>100</v>
      </c>
      <c r="H146" s="142">
        <f t="shared" si="41"/>
        <v>100</v>
      </c>
      <c r="I146" s="142">
        <f t="shared" si="41"/>
        <v>100</v>
      </c>
      <c r="J146" s="142">
        <f t="shared" si="41"/>
        <v>100</v>
      </c>
      <c r="K146" s="142">
        <f t="shared" si="41"/>
        <v>100</v>
      </c>
      <c r="L146" s="142">
        <f t="shared" si="41"/>
        <v>100</v>
      </c>
      <c r="M146" s="142">
        <f t="shared" si="41"/>
        <v>100</v>
      </c>
    </row>
    <row r="147" spans="2:13">
      <c r="B147" s="137" t="str">
        <f t="shared" si="37"/>
        <v>Unsecured Note 1</v>
      </c>
      <c r="C147" s="142">
        <v>0</v>
      </c>
      <c r="D147" s="142">
        <f t="shared" si="38"/>
        <v>100</v>
      </c>
      <c r="E147" s="142">
        <f t="shared" si="39"/>
        <v>100</v>
      </c>
      <c r="F147" s="142">
        <f t="shared" si="41"/>
        <v>100</v>
      </c>
      <c r="G147" s="142">
        <f t="shared" si="41"/>
        <v>100</v>
      </c>
      <c r="H147" s="142">
        <f t="shared" si="41"/>
        <v>100</v>
      </c>
      <c r="I147" s="142">
        <f t="shared" si="41"/>
        <v>100</v>
      </c>
      <c r="J147" s="142">
        <f t="shared" si="41"/>
        <v>100</v>
      </c>
      <c r="K147" s="142">
        <f t="shared" si="41"/>
        <v>100</v>
      </c>
      <c r="L147" s="142">
        <f t="shared" si="41"/>
        <v>100</v>
      </c>
      <c r="M147" s="142">
        <f t="shared" si="41"/>
        <v>100</v>
      </c>
    </row>
    <row r="148" spans="2:13">
      <c r="B148" s="137" t="str">
        <f t="shared" si="37"/>
        <v>Unsecured Note 2</v>
      </c>
      <c r="C148" s="142">
        <v>0</v>
      </c>
      <c r="D148" s="142">
        <f t="shared" si="38"/>
        <v>100</v>
      </c>
      <c r="E148" s="142">
        <f t="shared" si="39"/>
        <v>100</v>
      </c>
      <c r="F148" s="142">
        <f t="shared" si="41"/>
        <v>100</v>
      </c>
      <c r="G148" s="142">
        <f t="shared" si="41"/>
        <v>100</v>
      </c>
      <c r="H148" s="142">
        <f t="shared" si="41"/>
        <v>100</v>
      </c>
      <c r="I148" s="142">
        <f t="shared" si="41"/>
        <v>100</v>
      </c>
      <c r="J148" s="142">
        <f t="shared" si="41"/>
        <v>100</v>
      </c>
      <c r="K148" s="142">
        <f t="shared" si="41"/>
        <v>100</v>
      </c>
      <c r="L148" s="142">
        <f t="shared" si="41"/>
        <v>100</v>
      </c>
      <c r="M148" s="142">
        <f t="shared" si="41"/>
        <v>100</v>
      </c>
    </row>
    <row r="149" spans="2:13">
      <c r="B149" s="137" t="str">
        <f>J8</f>
        <v>Short-term borrowings</v>
      </c>
      <c r="C149" s="142">
        <f>'Balance Sheet'!E34</f>
        <v>657</v>
      </c>
      <c r="D149" s="142">
        <f>-M8</f>
        <v>-657</v>
      </c>
      <c r="E149" s="142">
        <f t="shared" si="39"/>
        <v>0</v>
      </c>
      <c r="F149" s="142">
        <f t="shared" si="41"/>
        <v>0</v>
      </c>
      <c r="G149" s="142">
        <f t="shared" si="41"/>
        <v>0</v>
      </c>
      <c r="H149" s="142">
        <f t="shared" si="41"/>
        <v>0</v>
      </c>
      <c r="I149" s="142">
        <f t="shared" si="41"/>
        <v>0</v>
      </c>
      <c r="J149" s="142">
        <f t="shared" si="41"/>
        <v>0</v>
      </c>
      <c r="K149" s="142">
        <f t="shared" si="41"/>
        <v>0</v>
      </c>
      <c r="L149" s="142">
        <f t="shared" si="41"/>
        <v>0</v>
      </c>
      <c r="M149" s="142">
        <f t="shared" si="41"/>
        <v>0</v>
      </c>
    </row>
    <row r="150" spans="2:13">
      <c r="B150" s="137" t="str">
        <f>J9</f>
        <v>Long-term debt</v>
      </c>
      <c r="C150" s="142">
        <f>'Balance Sheet'!E35</f>
        <v>2427</v>
      </c>
      <c r="D150" s="142">
        <f>-M9</f>
        <v>-2427</v>
      </c>
      <c r="E150" s="142">
        <f t="shared" si="39"/>
        <v>0</v>
      </c>
      <c r="F150" s="142">
        <f t="shared" si="41"/>
        <v>0</v>
      </c>
      <c r="G150" s="142">
        <f t="shared" si="41"/>
        <v>0</v>
      </c>
      <c r="H150" s="142">
        <f t="shared" si="41"/>
        <v>0</v>
      </c>
      <c r="I150" s="142">
        <f t="shared" si="41"/>
        <v>0</v>
      </c>
      <c r="J150" s="142">
        <f t="shared" si="41"/>
        <v>0</v>
      </c>
      <c r="K150" s="142">
        <f t="shared" si="41"/>
        <v>0</v>
      </c>
      <c r="L150" s="142">
        <f t="shared" si="41"/>
        <v>0</v>
      </c>
      <c r="M150" s="142">
        <f t="shared" si="41"/>
        <v>0</v>
      </c>
    </row>
    <row r="151" spans="2:13">
      <c r="C151" s="138">
        <f>C133+SUM(C136:C138)+SUM(C141:C150)</f>
        <v>5766</v>
      </c>
      <c r="E151" s="138">
        <f t="shared" ref="E151:M151" si="42">E133+SUM(E136:E138)+SUM(E141:E150)</f>
        <v>3482</v>
      </c>
      <c r="F151" s="138">
        <f t="shared" si="42"/>
        <v>3089.4616988014591</v>
      </c>
      <c r="G151" s="138">
        <f t="shared" si="42"/>
        <v>3096.965197114182</v>
      </c>
      <c r="H151" s="138">
        <f t="shared" si="42"/>
        <v>3104.5107290938467</v>
      </c>
      <c r="I151" s="138">
        <f t="shared" si="42"/>
        <v>3112.0985302078429</v>
      </c>
      <c r="J151" s="138">
        <f t="shared" si="42"/>
        <v>3119.7288372426183</v>
      </c>
      <c r="K151" s="138">
        <f t="shared" si="42"/>
        <v>3127.4018883110693</v>
      </c>
      <c r="L151" s="138">
        <f t="shared" si="42"/>
        <v>3135.1179228599722</v>
      </c>
      <c r="M151" s="138">
        <f t="shared" si="42"/>
        <v>3142.8771816774524</v>
      </c>
    </row>
    <row r="153" spans="2:13">
      <c r="B153" s="88" t="s">
        <v>120</v>
      </c>
      <c r="C153" s="133">
        <f>'Balance Sheet'!E47</f>
        <v>1096</v>
      </c>
      <c r="D153" s="141">
        <f>-C153+I16</f>
        <v>6423</v>
      </c>
      <c r="E153" s="141">
        <f>D153+C153</f>
        <v>7519</v>
      </c>
      <c r="F153" s="141">
        <f t="shared" ref="F153:M153" si="43">E153+F115</f>
        <v>8346.8821195935379</v>
      </c>
      <c r="G153" s="141">
        <f t="shared" si="43"/>
        <v>9179.4474473869886</v>
      </c>
      <c r="H153" s="141">
        <f t="shared" si="43"/>
        <v>10016.722218131861</v>
      </c>
      <c r="I153" s="141">
        <f t="shared" si="43"/>
        <v>10858.732813543491</v>
      </c>
      <c r="J153" s="141">
        <f t="shared" si="43"/>
        <v>11705.505763124311</v>
      </c>
      <c r="K153" s="141">
        <f t="shared" si="43"/>
        <v>12557.067744991735</v>
      </c>
      <c r="L153" s="141">
        <f t="shared" si="43"/>
        <v>13413.445586710683</v>
      </c>
      <c r="M153" s="141">
        <f t="shared" si="43"/>
        <v>14274.666266130766</v>
      </c>
    </row>
    <row r="155" spans="2:13">
      <c r="B155" s="156" t="s">
        <v>121</v>
      </c>
      <c r="C155" s="157">
        <f>C131-C151-C153</f>
        <v>0</v>
      </c>
      <c r="E155" s="157">
        <f t="shared" ref="E155:M155" si="44">E131-E151-E153</f>
        <v>0</v>
      </c>
      <c r="F155" s="157">
        <f t="shared" si="44"/>
        <v>0</v>
      </c>
      <c r="G155" s="157">
        <f t="shared" si="44"/>
        <v>0</v>
      </c>
      <c r="H155" s="157">
        <f t="shared" si="44"/>
        <v>0</v>
      </c>
      <c r="I155" s="157">
        <f t="shared" si="44"/>
        <v>0</v>
      </c>
      <c r="J155" s="157">
        <f t="shared" si="44"/>
        <v>0</v>
      </c>
      <c r="K155" s="157">
        <f t="shared" si="44"/>
        <v>0</v>
      </c>
      <c r="L155" s="157">
        <f t="shared" si="44"/>
        <v>0</v>
      </c>
      <c r="M155" s="157">
        <f t="shared" si="44"/>
        <v>0</v>
      </c>
    </row>
    <row r="157" spans="2:13">
      <c r="B157" s="88" t="s">
        <v>122</v>
      </c>
      <c r="E157" s="141">
        <f t="shared" ref="E157:M157" si="45">E123-E133</f>
        <v>147</v>
      </c>
      <c r="F157" s="141">
        <f t="shared" si="45"/>
        <v>147.82347576862935</v>
      </c>
      <c r="G157" s="141">
        <f t="shared" si="45"/>
        <v>148.65156454638486</v>
      </c>
      <c r="H157" s="141">
        <f t="shared" si="45"/>
        <v>149.48429217477133</v>
      </c>
      <c r="I157" s="141">
        <f t="shared" si="45"/>
        <v>150.32168464005485</v>
      </c>
      <c r="J157" s="141">
        <f t="shared" si="45"/>
        <v>151.16376807407323</v>
      </c>
      <c r="K157" s="141">
        <f t="shared" si="45"/>
        <v>152.01056875505105</v>
      </c>
      <c r="L157" s="141">
        <f t="shared" si="45"/>
        <v>152.86211310842054</v>
      </c>
      <c r="M157" s="141">
        <f t="shared" si="45"/>
        <v>153.71842770764692</v>
      </c>
    </row>
    <row r="158" spans="2:13">
      <c r="B158" s="88" t="s">
        <v>123</v>
      </c>
      <c r="F158" s="141">
        <f t="shared" ref="F158:M158" si="46">F157-E157</f>
        <v>0.82347576862935057</v>
      </c>
      <c r="G158" s="141">
        <f t="shared" si="46"/>
        <v>0.82808877775551082</v>
      </c>
      <c r="H158" s="141">
        <f t="shared" si="46"/>
        <v>0.83272762838646486</v>
      </c>
      <c r="I158" s="141">
        <f t="shared" si="46"/>
        <v>0.83739246528352851</v>
      </c>
      <c r="J158" s="141">
        <f t="shared" si="46"/>
        <v>0.84208343401837737</v>
      </c>
      <c r="K158" s="141">
        <f t="shared" si="46"/>
        <v>0.84680068097782168</v>
      </c>
      <c r="L158" s="141">
        <f t="shared" si="46"/>
        <v>0.85154435336949064</v>
      </c>
      <c r="M158" s="141">
        <f t="shared" si="46"/>
        <v>0.85631459922637987</v>
      </c>
    </row>
    <row r="160" spans="2:13">
      <c r="B160" s="88" t="s">
        <v>124</v>
      </c>
      <c r="E160" s="141">
        <f t="shared" ref="E160:M160" si="47">E127+E128+E129-SUM(E136:E138)</f>
        <v>5485</v>
      </c>
      <c r="F160" s="141">
        <f t="shared" si="47"/>
        <v>5485</v>
      </c>
      <c r="G160" s="141">
        <f t="shared" si="47"/>
        <v>5485</v>
      </c>
      <c r="H160" s="141">
        <f t="shared" si="47"/>
        <v>5485</v>
      </c>
      <c r="I160" s="141">
        <f t="shared" si="47"/>
        <v>5485</v>
      </c>
      <c r="J160" s="141">
        <f t="shared" si="47"/>
        <v>5485</v>
      </c>
      <c r="K160" s="141">
        <f t="shared" si="47"/>
        <v>5485</v>
      </c>
      <c r="L160" s="141">
        <f t="shared" si="47"/>
        <v>5485</v>
      </c>
      <c r="M160" s="141">
        <f t="shared" si="47"/>
        <v>5485</v>
      </c>
    </row>
    <row r="161" spans="2:13">
      <c r="B161" s="88" t="s">
        <v>125</v>
      </c>
      <c r="F161" s="141">
        <f t="shared" ref="F161:M161" si="48">F160-E160</f>
        <v>0</v>
      </c>
      <c r="G161" s="141">
        <f t="shared" si="48"/>
        <v>0</v>
      </c>
      <c r="H161" s="141">
        <f t="shared" si="48"/>
        <v>0</v>
      </c>
      <c r="I161" s="141">
        <f t="shared" si="48"/>
        <v>0</v>
      </c>
      <c r="J161" s="141">
        <f t="shared" si="48"/>
        <v>0</v>
      </c>
      <c r="K161" s="141">
        <f t="shared" si="48"/>
        <v>0</v>
      </c>
      <c r="L161" s="141">
        <f t="shared" si="48"/>
        <v>0</v>
      </c>
      <c r="M161" s="141">
        <f t="shared" si="48"/>
        <v>0</v>
      </c>
    </row>
    <row r="164" spans="2:13">
      <c r="B164" s="130" t="s">
        <v>126</v>
      </c>
      <c r="C164" s="131"/>
      <c r="D164" s="131"/>
      <c r="E164" s="131"/>
      <c r="F164" s="131"/>
      <c r="G164" s="131"/>
      <c r="H164" s="131"/>
      <c r="I164" s="131"/>
      <c r="J164" s="131"/>
      <c r="K164" s="131"/>
      <c r="L164" s="131"/>
      <c r="M164" s="131"/>
    </row>
    <row r="165" spans="2:13" ht="3" customHeight="1"/>
    <row r="166" spans="2:13">
      <c r="F166" s="132">
        <f t="shared" ref="F166:M166" si="49">F23</f>
        <v>2018</v>
      </c>
      <c r="G166" s="132">
        <f t="shared" si="49"/>
        <v>2019</v>
      </c>
      <c r="H166" s="132">
        <f t="shared" si="49"/>
        <v>2020</v>
      </c>
      <c r="I166" s="132">
        <f t="shared" si="49"/>
        <v>2021</v>
      </c>
      <c r="J166" s="132">
        <f t="shared" si="49"/>
        <v>2022</v>
      </c>
      <c r="K166" s="132">
        <f t="shared" si="49"/>
        <v>2023</v>
      </c>
      <c r="L166" s="132">
        <f t="shared" si="49"/>
        <v>2024</v>
      </c>
      <c r="M166" s="132">
        <f t="shared" si="49"/>
        <v>2025</v>
      </c>
    </row>
    <row r="167" spans="2:13" ht="3" customHeight="1"/>
    <row r="168" spans="2:13">
      <c r="B168" s="88" t="s">
        <v>127</v>
      </c>
      <c r="F168" s="88">
        <f>1</f>
        <v>1</v>
      </c>
      <c r="G168" s="88">
        <f>2</f>
        <v>2</v>
      </c>
      <c r="H168" s="88">
        <f>3</f>
        <v>3</v>
      </c>
      <c r="I168" s="88">
        <f>4</f>
        <v>4</v>
      </c>
      <c r="J168" s="88">
        <f>5</f>
        <v>5</v>
      </c>
      <c r="K168" s="88">
        <f>6</f>
        <v>6</v>
      </c>
      <c r="L168" s="88">
        <f>7</f>
        <v>7</v>
      </c>
      <c r="M168" s="88">
        <f>8</f>
        <v>8</v>
      </c>
    </row>
    <row r="169" spans="2:13">
      <c r="B169" s="88" t="s">
        <v>128</v>
      </c>
      <c r="F169" s="158">
        <f>C18</f>
        <v>5</v>
      </c>
      <c r="G169" s="159">
        <f t="shared" ref="G169:M169" si="50">F169</f>
        <v>5</v>
      </c>
      <c r="H169" s="159">
        <f t="shared" si="50"/>
        <v>5</v>
      </c>
      <c r="I169" s="159">
        <f t="shared" si="50"/>
        <v>5</v>
      </c>
      <c r="J169" s="159">
        <f t="shared" si="50"/>
        <v>5</v>
      </c>
      <c r="K169" s="159">
        <f t="shared" si="50"/>
        <v>5</v>
      </c>
      <c r="L169" s="159">
        <f t="shared" si="50"/>
        <v>5</v>
      </c>
      <c r="M169" s="159">
        <f t="shared" si="50"/>
        <v>5</v>
      </c>
    </row>
    <row r="170" spans="2:13">
      <c r="B170" s="88" t="s">
        <v>129</v>
      </c>
      <c r="F170" s="141">
        <f t="shared" ref="F170:M170" si="51">F169*F25</f>
        <v>7778.3305106826492</v>
      </c>
      <c r="G170" s="141">
        <f t="shared" si="51"/>
        <v>7821.9037535121615</v>
      </c>
      <c r="H170" s="141">
        <f t="shared" si="51"/>
        <v>7865.7210882439267</v>
      </c>
      <c r="I170" s="141">
        <f t="shared" si="51"/>
        <v>7909.7838822505037</v>
      </c>
      <c r="J170" s="141">
        <f t="shared" si="51"/>
        <v>7954.0935105643057</v>
      </c>
      <c r="K170" s="141">
        <f t="shared" si="51"/>
        <v>7998.6513559205141</v>
      </c>
      <c r="L170" s="141">
        <f t="shared" si="51"/>
        <v>8043.4588088002156</v>
      </c>
      <c r="M170" s="141">
        <f t="shared" si="51"/>
        <v>8088.5172674737914</v>
      </c>
    </row>
    <row r="171" spans="2:13">
      <c r="B171" s="88" t="s">
        <v>54</v>
      </c>
      <c r="F171" s="141">
        <f t="shared" ref="F171:M171" si="52">SUM(F141:F150)-F121</f>
        <v>-519.53623632100107</v>
      </c>
      <c r="G171" s="141">
        <f t="shared" si="52"/>
        <v>-1359.728534804821</v>
      </c>
      <c r="H171" s="141">
        <f t="shared" si="52"/>
        <v>-2204.6029781342386</v>
      </c>
      <c r="I171" s="141">
        <f t="shared" si="52"/>
        <v>-3054.1857951039847</v>
      </c>
      <c r="J171" s="141">
        <f t="shared" si="52"/>
        <v>-3908.503361439246</v>
      </c>
      <c r="K171" s="141">
        <f t="shared" si="52"/>
        <v>-4767.5822006187518</v>
      </c>
      <c r="L171" s="141">
        <f t="shared" si="52"/>
        <v>-5631.4489847024679</v>
      </c>
      <c r="M171" s="141">
        <f t="shared" si="52"/>
        <v>-6500.1305351639321</v>
      </c>
    </row>
    <row r="172" spans="2:13">
      <c r="B172" s="88" t="s">
        <v>130</v>
      </c>
      <c r="E172" s="141">
        <f>E153</f>
        <v>7519</v>
      </c>
      <c r="F172" s="141">
        <f t="shared" ref="F172:M172" si="53">F170-F171</f>
        <v>8297.8667470036507</v>
      </c>
      <c r="G172" s="141">
        <f t="shared" si="53"/>
        <v>9181.6322883169832</v>
      </c>
      <c r="H172" s="141">
        <f t="shared" si="53"/>
        <v>10070.324066378165</v>
      </c>
      <c r="I172" s="141">
        <f t="shared" si="53"/>
        <v>10963.969677354489</v>
      </c>
      <c r="J172" s="141">
        <f t="shared" si="53"/>
        <v>11862.596872003553</v>
      </c>
      <c r="K172" s="141">
        <f t="shared" si="53"/>
        <v>12766.233556539266</v>
      </c>
      <c r="L172" s="141">
        <f t="shared" si="53"/>
        <v>13674.907793502683</v>
      </c>
      <c r="M172" s="141">
        <f t="shared" si="53"/>
        <v>14588.647802637723</v>
      </c>
    </row>
    <row r="173" spans="2:13">
      <c r="B173" s="88" t="s">
        <v>131</v>
      </c>
      <c r="F173" s="160">
        <f>(F172/E172)^(1/F168)-1</f>
        <v>0.10358648051651165</v>
      </c>
      <c r="G173" s="160">
        <f>(G172/E172)^(1/G168)-1</f>
        <v>0.10504485157608467</v>
      </c>
      <c r="H173" s="160">
        <f>(H172/E172)^(1/H168)-1</f>
        <v>0.1022864121138114</v>
      </c>
      <c r="I173" s="160">
        <f>(I172/E172)^(1/I168)-1</f>
        <v>9.8884215651808161E-2</v>
      </c>
      <c r="J173" s="160">
        <f>(J172/E172)^(1/J168)-1</f>
        <v>9.5478699190791883E-2</v>
      </c>
      <c r="K173" s="160">
        <f>(K172/E172)^(1/K168)-1</f>
        <v>9.2237584533156891E-2</v>
      </c>
      <c r="L173" s="160">
        <f>(L172/E172)^(1/L168)-1</f>
        <v>8.9203902838029592E-2</v>
      </c>
      <c r="M173" s="160">
        <f>(M172/E172)^(1/M168)-1</f>
        <v>8.6380269189938019E-2</v>
      </c>
    </row>
    <row r="175" spans="2:13">
      <c r="B175" s="88" t="s">
        <v>132</v>
      </c>
      <c r="F175" s="160">
        <f t="shared" ref="F175:M175" si="54">F115/AVERAGE(E153:F153)</f>
        <v>0.10436004923686497</v>
      </c>
      <c r="G175" s="160">
        <f t="shared" si="54"/>
        <v>9.500738013759559E-2</v>
      </c>
      <c r="H175" s="160">
        <f t="shared" si="54"/>
        <v>8.7233524743097951E-2</v>
      </c>
      <c r="I175" s="160">
        <f t="shared" si="54"/>
        <v>8.0669915375162451E-2</v>
      </c>
      <c r="J175" s="160">
        <f t="shared" si="54"/>
        <v>7.505442266121147E-2</v>
      </c>
      <c r="K175" s="160">
        <f t="shared" si="54"/>
        <v>7.0195519991526734E-2</v>
      </c>
      <c r="L175" s="160">
        <f t="shared" si="54"/>
        <v>6.5950012676380967E-2</v>
      </c>
      <c r="M175" s="160">
        <f t="shared" si="54"/>
        <v>6.2208696930823822E-2</v>
      </c>
    </row>
    <row r="176" spans="2:13">
      <c r="B176" s="88" t="s">
        <v>133</v>
      </c>
      <c r="F176" s="160">
        <f t="shared" ref="F176:M176" si="55">F115/AVERAGE(E131:F131)</f>
        <v>7.3795020149827986E-2</v>
      </c>
      <c r="G176" s="160">
        <f t="shared" si="55"/>
        <v>7.0220881245601441E-2</v>
      </c>
      <c r="H176" s="160">
        <f t="shared" si="55"/>
        <v>6.5933258870074896E-2</v>
      </c>
      <c r="I176" s="160">
        <f t="shared" si="55"/>
        <v>6.21592054683009E-2</v>
      </c>
      <c r="J176" s="160">
        <f t="shared" si="55"/>
        <v>5.8811710684651797E-2</v>
      </c>
      <c r="K176" s="160">
        <f t="shared" si="55"/>
        <v>5.582236886633999E-2</v>
      </c>
      <c r="L176" s="160">
        <f t="shared" si="55"/>
        <v>5.3136658776295642E-2</v>
      </c>
      <c r="M176" s="160">
        <f t="shared" si="55"/>
        <v>5.0710591031274413E-2</v>
      </c>
    </row>
    <row r="179" spans="2:13">
      <c r="B179" s="130" t="s">
        <v>134</v>
      </c>
      <c r="C179" s="131"/>
      <c r="D179" s="131"/>
      <c r="E179" s="131"/>
      <c r="F179" s="131"/>
      <c r="G179" s="131"/>
      <c r="H179" s="131"/>
      <c r="I179" s="131"/>
      <c r="J179" s="131"/>
      <c r="K179" s="131"/>
      <c r="L179" s="131"/>
      <c r="M179" s="131"/>
    </row>
    <row r="180" spans="2:13" ht="3" customHeight="1"/>
    <row r="181" spans="2:13">
      <c r="F181" s="132">
        <f t="shared" ref="F181:M181" si="56">F23</f>
        <v>2018</v>
      </c>
      <c r="G181" s="132">
        <f t="shared" si="56"/>
        <v>2019</v>
      </c>
      <c r="H181" s="132">
        <f t="shared" si="56"/>
        <v>2020</v>
      </c>
      <c r="I181" s="132">
        <f t="shared" si="56"/>
        <v>2021</v>
      </c>
      <c r="J181" s="132">
        <f t="shared" si="56"/>
        <v>2022</v>
      </c>
      <c r="K181" s="132">
        <f t="shared" si="56"/>
        <v>2023</v>
      </c>
      <c r="L181" s="132">
        <f t="shared" si="56"/>
        <v>2024</v>
      </c>
      <c r="M181" s="132">
        <f t="shared" si="56"/>
        <v>2025</v>
      </c>
    </row>
    <row r="182" spans="2:13" ht="3" customHeight="1"/>
    <row r="183" spans="2:13">
      <c r="B183" s="88" t="s">
        <v>135</v>
      </c>
      <c r="F183" s="159">
        <f t="shared" ref="F183:M183" si="57">SUM(F141:F150)/F25</f>
        <v>0.25712458441476976</v>
      </c>
      <c r="G183" s="159">
        <f t="shared" si="57"/>
        <v>0.25569222826373533</v>
      </c>
      <c r="H183" s="159">
        <f t="shared" si="57"/>
        <v>0.25426785129581969</v>
      </c>
      <c r="I183" s="159">
        <f t="shared" si="57"/>
        <v>0.25285140906162873</v>
      </c>
      <c r="J183" s="159">
        <f t="shared" si="57"/>
        <v>0.25144285735938116</v>
      </c>
      <c r="K183" s="159">
        <f t="shared" si="57"/>
        <v>0.25004215223352899</v>
      </c>
      <c r="L183" s="159">
        <f t="shared" si="57"/>
        <v>0.24864924997338619</v>
      </c>
      <c r="M183" s="159">
        <f t="shared" si="57"/>
        <v>0.24726410711176494</v>
      </c>
    </row>
    <row r="184" spans="2:13">
      <c r="B184" s="88" t="s">
        <v>136</v>
      </c>
      <c r="F184" s="159">
        <f t="shared" ref="F184:M184" si="58">F171/F25</f>
        <v>-0.33396384713112753</v>
      </c>
      <c r="G184" s="159">
        <f t="shared" si="58"/>
        <v>-0.86918004724507181</v>
      </c>
      <c r="H184" s="159">
        <f t="shared" si="58"/>
        <v>-1.4013991555263947</v>
      </c>
      <c r="I184" s="159">
        <f t="shared" si="58"/>
        <v>-1.9306379545701338</v>
      </c>
      <c r="J184" s="159">
        <f t="shared" si="58"/>
        <v>-2.4569131329975753</v>
      </c>
      <c r="K184" s="159">
        <f t="shared" si="58"/>
        <v>-2.9802412859824425</v>
      </c>
      <c r="L184" s="159">
        <f t="shared" si="58"/>
        <v>-3.5006389157741395</v>
      </c>
      <c r="M184" s="159">
        <f t="shared" si="58"/>
        <v>-4.0181224322180711</v>
      </c>
    </row>
    <row r="185" spans="2:13">
      <c r="B185" s="88" t="s">
        <v>137</v>
      </c>
      <c r="F185" s="159" t="e">
        <f t="shared" ref="F185:M185" si="59">(F25+F27)/(F102)</f>
        <v>#DIV/0!</v>
      </c>
      <c r="G185" s="159" t="e">
        <f t="shared" si="59"/>
        <v>#DIV/0!</v>
      </c>
      <c r="H185" s="159" t="e">
        <f t="shared" si="59"/>
        <v>#DIV/0!</v>
      </c>
      <c r="I185" s="159" t="e">
        <f t="shared" si="59"/>
        <v>#DIV/0!</v>
      </c>
      <c r="J185" s="159" t="e">
        <f t="shared" si="59"/>
        <v>#DIV/0!</v>
      </c>
      <c r="K185" s="159" t="e">
        <f t="shared" si="59"/>
        <v>#DIV/0!</v>
      </c>
      <c r="L185" s="159" t="e">
        <f t="shared" si="59"/>
        <v>#DIV/0!</v>
      </c>
      <c r="M185" s="159" t="e">
        <f t="shared" si="59"/>
        <v>#DIV/0!</v>
      </c>
    </row>
    <row r="186" spans="2:13">
      <c r="B186" s="88" t="s">
        <v>138</v>
      </c>
      <c r="F186" s="159">
        <f t="shared" ref="F186:M186" si="60">SUM(F141:F150)/(SUM(F141:F150)+F153)</f>
        <v>4.5730580855088479E-2</v>
      </c>
      <c r="G186" s="159">
        <f t="shared" si="60"/>
        <v>4.1756061839361001E-2</v>
      </c>
      <c r="H186" s="159">
        <f t="shared" si="60"/>
        <v>3.8399795216170804E-2</v>
      </c>
      <c r="I186" s="159">
        <f t="shared" si="60"/>
        <v>3.5527976960144855E-2</v>
      </c>
      <c r="J186" s="159">
        <f t="shared" si="60"/>
        <v>3.3042816039828476E-2</v>
      </c>
      <c r="K186" s="159">
        <f t="shared" si="60"/>
        <v>3.0871182266883731E-2</v>
      </c>
      <c r="L186" s="159">
        <f t="shared" si="60"/>
        <v>2.8957293637499298E-2</v>
      </c>
      <c r="M186" s="159">
        <f t="shared" si="60"/>
        <v>2.7257860093432097E-2</v>
      </c>
    </row>
  </sheetData>
  <pageMargins left="0.7" right="0.7" top="0.75" bottom="0.75" header="0.3" footer="0.3"/>
  <pageSetup scale="4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O124"/>
  <sheetViews>
    <sheetView view="pageBreakPreview" workbookViewId="0"/>
  </sheetViews>
  <sheetFormatPr defaultRowHeight="15"/>
  <cols>
    <col min="2" max="2" width="47.28515625" customWidth="1"/>
    <col min="3" max="18" width="12.28515625" customWidth="1"/>
  </cols>
  <sheetData>
    <row r="3" spans="2:15">
      <c r="B3" s="74" t="s">
        <v>74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2:15" ht="3" customHeight="1"/>
    <row r="5" spans="2:15">
      <c r="F5" s="75">
        <f>'Operating Model'!G5</f>
        <v>2018</v>
      </c>
      <c r="G5" s="75">
        <f>'Operating Model'!H5</f>
        <v>2019</v>
      </c>
      <c r="H5" s="75">
        <f>'Operating Model'!I5</f>
        <v>2020</v>
      </c>
      <c r="I5" s="75">
        <f>'Operating Model'!J5</f>
        <v>2021</v>
      </c>
      <c r="J5" s="75">
        <f>'Operating Model'!K5</f>
        <v>2022</v>
      </c>
      <c r="K5" s="75">
        <f>'Operating Model'!L5</f>
        <v>2023</v>
      </c>
      <c r="L5" s="75">
        <f>'Operating Model'!M5</f>
        <v>2024</v>
      </c>
      <c r="M5" s="75">
        <f>'Operating Model'!N5</f>
        <v>2025</v>
      </c>
      <c r="N5" s="75">
        <f>'Operating Model'!O5</f>
        <v>2026</v>
      </c>
      <c r="O5" s="75">
        <f>'Operating Model'!P5</f>
        <v>2027</v>
      </c>
    </row>
    <row r="6" spans="2:15" ht="3" customHeight="1"/>
    <row r="7" spans="2:15">
      <c r="B7" t="s">
        <v>2</v>
      </c>
      <c r="F7" s="58">
        <f>'Operating Model'!G24</f>
        <v>1555.6661021365298</v>
      </c>
      <c r="G7" s="58">
        <f>'Operating Model'!H24</f>
        <v>1564.3807507024324</v>
      </c>
      <c r="H7" s="58">
        <f>'Operating Model'!I24</f>
        <v>1573.1442176487853</v>
      </c>
      <c r="I7" s="58">
        <f>'Operating Model'!J24</f>
        <v>1581.9567764501007</v>
      </c>
      <c r="J7" s="58">
        <f>'Operating Model'!K24</f>
        <v>1590.818702112861</v>
      </c>
      <c r="K7" s="58">
        <f>'Operating Model'!L24</f>
        <v>1599.7302711841028</v>
      </c>
      <c r="L7" s="58">
        <f>'Operating Model'!M24</f>
        <v>1608.6917617600432</v>
      </c>
      <c r="M7" s="58">
        <f>'Operating Model'!N24</f>
        <v>1617.7034534947584</v>
      </c>
      <c r="N7" s="58">
        <f>'Operating Model'!O24</f>
        <v>1626.7656276089169</v>
      </c>
      <c r="O7" s="58">
        <f>'Operating Model'!P24</f>
        <v>1635.878566898544</v>
      </c>
    </row>
    <row r="8" spans="2:15">
      <c r="B8" t="s">
        <v>105</v>
      </c>
      <c r="F8" s="62">
        <f>-'Operating Model'!G37</f>
        <v>0</v>
      </c>
      <c r="G8" s="62">
        <f>-'Operating Model'!H37</f>
        <v>0</v>
      </c>
      <c r="H8" s="62">
        <f>-'Operating Model'!I37</f>
        <v>0</v>
      </c>
      <c r="I8" s="62">
        <f>-'Operating Model'!J37</f>
        <v>0</v>
      </c>
      <c r="J8" s="62">
        <f>-'Operating Model'!K37</f>
        <v>0</v>
      </c>
      <c r="K8" s="62">
        <f>-'Operating Model'!L37</f>
        <v>0</v>
      </c>
      <c r="L8" s="62">
        <f>-'Operating Model'!M37</f>
        <v>0</v>
      </c>
      <c r="M8" s="62">
        <f>-'Operating Model'!N37</f>
        <v>0</v>
      </c>
      <c r="N8" s="62">
        <f>-'Operating Model'!O37</f>
        <v>0</v>
      </c>
      <c r="O8" s="62">
        <f>-'Operating Model'!P37</f>
        <v>0</v>
      </c>
    </row>
    <row r="9" spans="2:15">
      <c r="B9" t="s">
        <v>76</v>
      </c>
      <c r="F9" s="62">
        <f>'Operating Model'!G47</f>
        <v>-273.52371026576338</v>
      </c>
      <c r="G9" s="62">
        <f>'Operating Model'!H47</f>
        <v>-275.05595616746058</v>
      </c>
      <c r="H9" s="62">
        <f>'Operating Model'!I47</f>
        <v>-276.59678552066543</v>
      </c>
      <c r="I9" s="62">
        <f>'Operating Model'!J47</f>
        <v>-278.14624640880879</v>
      </c>
      <c r="J9" s="62">
        <f>'Operating Model'!K47</f>
        <v>-279.70438718467886</v>
      </c>
      <c r="K9" s="62">
        <f>'Operating Model'!L47</f>
        <v>-281.27125647193014</v>
      </c>
      <c r="L9" s="62">
        <f>'Operating Model'!M47</f>
        <v>-282.8469031666009</v>
      </c>
      <c r="M9" s="62">
        <f>'Operating Model'!N47</f>
        <v>-284.43137643863889</v>
      </c>
      <c r="N9" s="62">
        <f>'Operating Model'!O47</f>
        <v>-286.02472573343584</v>
      </c>
      <c r="O9" s="62">
        <f>'Operating Model'!P47</f>
        <v>-287.62700077337036</v>
      </c>
    </row>
    <row r="10" spans="2:15">
      <c r="B10" t="s">
        <v>139</v>
      </c>
      <c r="F10" s="63">
        <f t="shared" ref="F10:O10" si="0">-F59</f>
        <v>0</v>
      </c>
      <c r="G10" s="63">
        <f t="shared" si="0"/>
        <v>0</v>
      </c>
      <c r="H10" s="63">
        <f t="shared" si="0"/>
        <v>0</v>
      </c>
      <c r="I10" s="63">
        <f t="shared" si="0"/>
        <v>0</v>
      </c>
      <c r="J10" s="63">
        <f t="shared" si="0"/>
        <v>0</v>
      </c>
      <c r="K10" s="63">
        <f t="shared" si="0"/>
        <v>0</v>
      </c>
      <c r="L10" s="63">
        <f t="shared" si="0"/>
        <v>0</v>
      </c>
      <c r="M10" s="63">
        <f t="shared" si="0"/>
        <v>0</v>
      </c>
      <c r="N10" s="63">
        <f t="shared" si="0"/>
        <v>0</v>
      </c>
      <c r="O10" s="63">
        <f t="shared" si="0"/>
        <v>0</v>
      </c>
    </row>
    <row r="11" spans="2:15">
      <c r="B11" t="s">
        <v>78</v>
      </c>
      <c r="F11" s="63">
        <f t="shared" ref="F11:O11" si="1">-F69</f>
        <v>-410.76467414583851</v>
      </c>
      <c r="G11" s="63">
        <f t="shared" si="1"/>
        <v>-413.06572690616554</v>
      </c>
      <c r="H11" s="63">
        <f t="shared" si="1"/>
        <v>-415.37966987867276</v>
      </c>
      <c r="I11" s="63">
        <f t="shared" si="1"/>
        <v>-417.70657527272994</v>
      </c>
      <c r="J11" s="63">
        <f t="shared" si="1"/>
        <v>-420.04651570221472</v>
      </c>
      <c r="K11" s="63">
        <f t="shared" si="1"/>
        <v>-422.39956418777945</v>
      </c>
      <c r="L11" s="63">
        <f t="shared" si="1"/>
        <v>-424.76579415912852</v>
      </c>
      <c r="M11" s="63">
        <f t="shared" si="1"/>
        <v>-427.14527945730987</v>
      </c>
      <c r="N11" s="63">
        <f t="shared" si="1"/>
        <v>-429.5380943370215</v>
      </c>
      <c r="O11" s="63">
        <f t="shared" si="1"/>
        <v>-431.94431346892486</v>
      </c>
    </row>
    <row r="12" spans="2:15">
      <c r="B12" t="s">
        <v>79</v>
      </c>
      <c r="F12" s="63">
        <f t="shared" ref="F12:O12" si="2">-F103</f>
        <v>-0.82347576862935057</v>
      </c>
      <c r="G12" s="63">
        <f t="shared" si="2"/>
        <v>-0.82808877775551082</v>
      </c>
      <c r="H12" s="63">
        <f t="shared" si="2"/>
        <v>-0.83272762838646486</v>
      </c>
      <c r="I12" s="63">
        <f t="shared" si="2"/>
        <v>-0.83739246528352851</v>
      </c>
      <c r="J12" s="63">
        <f t="shared" si="2"/>
        <v>-0.84208343401837737</v>
      </c>
      <c r="K12" s="63">
        <f t="shared" si="2"/>
        <v>-0.84680068097782168</v>
      </c>
      <c r="L12" s="63">
        <f t="shared" si="2"/>
        <v>-0.85154435336949064</v>
      </c>
      <c r="M12" s="63">
        <f t="shared" si="2"/>
        <v>-0.85631459922637987</v>
      </c>
      <c r="N12" s="63">
        <f t="shared" si="2"/>
        <v>-0.86111156740867045</v>
      </c>
      <c r="O12" s="63">
        <f t="shared" si="2"/>
        <v>-0.86593540761168697</v>
      </c>
    </row>
    <row r="13" spans="2:15">
      <c r="B13" s="76" t="s">
        <v>80</v>
      </c>
      <c r="F13" s="63">
        <f t="shared" ref="F13:O13" si="3">-F106</f>
        <v>0</v>
      </c>
      <c r="G13" s="63">
        <f t="shared" si="3"/>
        <v>0</v>
      </c>
      <c r="H13" s="63">
        <f t="shared" si="3"/>
        <v>0</v>
      </c>
      <c r="I13" s="63">
        <f t="shared" si="3"/>
        <v>0</v>
      </c>
      <c r="J13" s="63">
        <f t="shared" si="3"/>
        <v>0</v>
      </c>
      <c r="K13" s="63">
        <f t="shared" si="3"/>
        <v>0</v>
      </c>
      <c r="L13" s="63">
        <f t="shared" si="3"/>
        <v>0</v>
      </c>
      <c r="M13" s="63">
        <f t="shared" si="3"/>
        <v>0</v>
      </c>
      <c r="N13" s="63">
        <f t="shared" si="3"/>
        <v>0</v>
      </c>
      <c r="O13" s="63">
        <f t="shared" si="3"/>
        <v>0</v>
      </c>
    </row>
    <row r="14" spans="2:15">
      <c r="B14" s="76" t="s">
        <v>140</v>
      </c>
      <c r="F14" s="62">
        <f>-'Operating Model'!G50</f>
        <v>0</v>
      </c>
      <c r="G14" s="62">
        <f>-'Operating Model'!H50</f>
        <v>0</v>
      </c>
      <c r="H14" s="62">
        <f>-'Operating Model'!I50</f>
        <v>0</v>
      </c>
      <c r="I14" s="62">
        <f>-'Operating Model'!J50</f>
        <v>0</v>
      </c>
      <c r="J14" s="62">
        <f>-'Operating Model'!K50</f>
        <v>0</v>
      </c>
      <c r="K14" s="62">
        <f>-'Operating Model'!L50</f>
        <v>0</v>
      </c>
      <c r="L14" s="62">
        <f>-'Operating Model'!M50</f>
        <v>0</v>
      </c>
      <c r="M14" s="62">
        <f>-'Operating Model'!N50</f>
        <v>0</v>
      </c>
      <c r="N14" s="62">
        <f>-'Operating Model'!O50</f>
        <v>0</v>
      </c>
      <c r="O14" s="62">
        <f>-'Operating Model'!P50</f>
        <v>0</v>
      </c>
    </row>
    <row r="15" spans="2:15">
      <c r="B15" s="40" t="s">
        <v>81</v>
      </c>
      <c r="F15" s="46">
        <f t="shared" ref="F15:O15" si="4">SUM(F7:F14)</f>
        <v>870.5542419562986</v>
      </c>
      <c r="G15" s="46">
        <f t="shared" si="4"/>
        <v>875.43097885105067</v>
      </c>
      <c r="H15" s="46">
        <f t="shared" si="4"/>
        <v>880.33503462106069</v>
      </c>
      <c r="I15" s="46">
        <f t="shared" si="4"/>
        <v>885.26656230327853</v>
      </c>
      <c r="J15" s="46">
        <f t="shared" si="4"/>
        <v>890.22571579194914</v>
      </c>
      <c r="K15" s="46">
        <f t="shared" si="4"/>
        <v>895.21264984341531</v>
      </c>
      <c r="L15" s="46">
        <f t="shared" si="4"/>
        <v>900.22752008094426</v>
      </c>
      <c r="M15" s="46">
        <f t="shared" si="4"/>
        <v>905.27048299958324</v>
      </c>
      <c r="N15" s="46">
        <f t="shared" si="4"/>
        <v>910.34169597105097</v>
      </c>
      <c r="O15" s="46">
        <f t="shared" si="4"/>
        <v>915.44131724863712</v>
      </c>
    </row>
    <row r="17" spans="2:15">
      <c r="B17" t="s">
        <v>82</v>
      </c>
      <c r="F17" s="58">
        <f>'Operating Model'!G27</f>
        <v>269.50130276185507</v>
      </c>
      <c r="G17" s="58">
        <f>'Operating Model'!H27</f>
        <v>271.01101563558615</v>
      </c>
      <c r="H17" s="58">
        <f>'Operating Model'!I27</f>
        <v>272.52918573359682</v>
      </c>
      <c r="I17" s="58">
        <f>'Operating Model'!J27</f>
        <v>274.05586043220865</v>
      </c>
      <c r="J17" s="58">
        <f>'Operating Model'!K27</f>
        <v>275.59108737313943</v>
      </c>
      <c r="K17" s="58">
        <f>'Operating Model'!L27</f>
        <v>277.13491446499</v>
      </c>
      <c r="L17" s="58">
        <f>'Operating Model'!M27</f>
        <v>278.6873898847391</v>
      </c>
      <c r="M17" s="58">
        <f>'Operating Model'!N27</f>
        <v>280.24856207924711</v>
      </c>
      <c r="N17" s="58">
        <f>'Operating Model'!O27</f>
        <v>281.81847976676761</v>
      </c>
      <c r="O17" s="58">
        <f>'Operating Model'!P27</f>
        <v>283.39719193846781</v>
      </c>
    </row>
    <row r="19" spans="2:15">
      <c r="B19" s="74" t="s">
        <v>83</v>
      </c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</row>
    <row r="20" spans="2:15" ht="3" customHeight="1"/>
    <row r="21" spans="2:15">
      <c r="F21" s="75">
        <f t="shared" ref="F21:O21" si="5">F5</f>
        <v>2018</v>
      </c>
      <c r="G21" s="75">
        <f t="shared" si="5"/>
        <v>2019</v>
      </c>
      <c r="H21" s="75">
        <f t="shared" si="5"/>
        <v>2020</v>
      </c>
      <c r="I21" s="75">
        <f t="shared" si="5"/>
        <v>2021</v>
      </c>
      <c r="J21" s="75">
        <f t="shared" si="5"/>
        <v>2022</v>
      </c>
      <c r="K21" s="75">
        <f t="shared" si="5"/>
        <v>2023</v>
      </c>
      <c r="L21" s="75">
        <f t="shared" si="5"/>
        <v>2024</v>
      </c>
      <c r="M21" s="75">
        <f t="shared" si="5"/>
        <v>2025</v>
      </c>
      <c r="N21" s="75">
        <f t="shared" si="5"/>
        <v>2026</v>
      </c>
      <c r="O21" s="75">
        <f t="shared" si="5"/>
        <v>2027</v>
      </c>
    </row>
    <row r="22" spans="2:15" ht="3" customHeight="1"/>
    <row r="23" spans="2:15">
      <c r="B23" t="str">
        <f>'Balance Sheet'!C34</f>
        <v>Short-term borrowings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2">
        <v>0</v>
      </c>
    </row>
    <row r="24" spans="2:15">
      <c r="B24" t="str">
        <f>'Balance Sheet'!C35</f>
        <v>Long-term debt</v>
      </c>
      <c r="F24" s="50">
        <v>0</v>
      </c>
      <c r="G24" s="50">
        <v>0</v>
      </c>
      <c r="H24" s="50">
        <v>0</v>
      </c>
      <c r="I24" s="50">
        <v>0</v>
      </c>
      <c r="J24" s="50">
        <v>0</v>
      </c>
      <c r="K24" s="50">
        <v>0</v>
      </c>
      <c r="L24" s="50">
        <v>0</v>
      </c>
      <c r="M24" s="50">
        <v>0</v>
      </c>
      <c r="N24" s="50">
        <v>0</v>
      </c>
      <c r="O24" s="50">
        <v>0</v>
      </c>
    </row>
    <row r="25" spans="2:15">
      <c r="F25" s="46">
        <f t="shared" ref="F25:O25" si="6">SUM(F23:F24)</f>
        <v>0</v>
      </c>
      <c r="G25" s="46">
        <f t="shared" si="6"/>
        <v>0</v>
      </c>
      <c r="H25" s="46">
        <f t="shared" si="6"/>
        <v>0</v>
      </c>
      <c r="I25" s="46">
        <f t="shared" si="6"/>
        <v>0</v>
      </c>
      <c r="J25" s="46">
        <f t="shared" si="6"/>
        <v>0</v>
      </c>
      <c r="K25" s="46">
        <f t="shared" si="6"/>
        <v>0</v>
      </c>
      <c r="L25" s="46">
        <f t="shared" si="6"/>
        <v>0</v>
      </c>
      <c r="M25" s="46">
        <f t="shared" si="6"/>
        <v>0</v>
      </c>
      <c r="N25" s="46">
        <f t="shared" si="6"/>
        <v>0</v>
      </c>
      <c r="O25" s="46">
        <f t="shared" si="6"/>
        <v>0</v>
      </c>
    </row>
    <row r="27" spans="2:15">
      <c r="B27" s="74" t="s">
        <v>84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</row>
    <row r="28" spans="2:15" ht="3" customHeight="1"/>
    <row r="29" spans="2:15">
      <c r="F29" s="75">
        <f t="shared" ref="F29:O29" si="7">F5</f>
        <v>2018</v>
      </c>
      <c r="G29" s="75">
        <f t="shared" si="7"/>
        <v>2019</v>
      </c>
      <c r="H29" s="75">
        <f t="shared" si="7"/>
        <v>2020</v>
      </c>
      <c r="I29" s="75">
        <f t="shared" si="7"/>
        <v>2021</v>
      </c>
      <c r="J29" s="75">
        <f t="shared" si="7"/>
        <v>2022</v>
      </c>
      <c r="K29" s="75">
        <f t="shared" si="7"/>
        <v>2023</v>
      </c>
      <c r="L29" s="75">
        <f t="shared" si="7"/>
        <v>2024</v>
      </c>
      <c r="M29" s="75">
        <f t="shared" si="7"/>
        <v>2025</v>
      </c>
      <c r="N29" s="75">
        <f t="shared" si="7"/>
        <v>2026</v>
      </c>
      <c r="O29" s="75">
        <f t="shared" si="7"/>
        <v>2027</v>
      </c>
    </row>
    <row r="30" spans="2:15" ht="3" customHeight="1"/>
    <row r="31" spans="2:15">
      <c r="B31" t="str">
        <f>B23</f>
        <v>Short-term borrowings</v>
      </c>
      <c r="F31" s="41">
        <f t="shared" ref="F31:O31" si="8">MIN(E94,F23)</f>
        <v>0</v>
      </c>
      <c r="G31" s="41">
        <f t="shared" si="8"/>
        <v>0</v>
      </c>
      <c r="H31" s="41">
        <f t="shared" si="8"/>
        <v>0</v>
      </c>
      <c r="I31" s="41">
        <f t="shared" si="8"/>
        <v>0</v>
      </c>
      <c r="J31" s="41">
        <f t="shared" si="8"/>
        <v>0</v>
      </c>
      <c r="K31" s="41">
        <f t="shared" si="8"/>
        <v>0</v>
      </c>
      <c r="L31" s="41">
        <f t="shared" si="8"/>
        <v>0</v>
      </c>
      <c r="M31" s="41">
        <f t="shared" si="8"/>
        <v>0</v>
      </c>
      <c r="N31" s="41">
        <f t="shared" si="8"/>
        <v>0</v>
      </c>
      <c r="O31" s="41">
        <f t="shared" si="8"/>
        <v>0</v>
      </c>
    </row>
    <row r="32" spans="2:15">
      <c r="B32" t="str">
        <f>B24</f>
        <v>Long-term debt</v>
      </c>
      <c r="F32" s="49">
        <f t="shared" ref="F32:O32" si="9">MIN(E95,F24)</f>
        <v>0</v>
      </c>
      <c r="G32" s="49">
        <f t="shared" si="9"/>
        <v>0</v>
      </c>
      <c r="H32" s="49">
        <f t="shared" si="9"/>
        <v>0</v>
      </c>
      <c r="I32" s="49">
        <f t="shared" si="9"/>
        <v>0</v>
      </c>
      <c r="J32" s="49">
        <f t="shared" si="9"/>
        <v>0</v>
      </c>
      <c r="K32" s="49">
        <f t="shared" si="9"/>
        <v>0</v>
      </c>
      <c r="L32" s="49">
        <f t="shared" si="9"/>
        <v>0</v>
      </c>
      <c r="M32" s="49">
        <f t="shared" si="9"/>
        <v>0</v>
      </c>
      <c r="N32" s="49">
        <f t="shared" si="9"/>
        <v>0</v>
      </c>
      <c r="O32" s="49">
        <f t="shared" si="9"/>
        <v>0</v>
      </c>
    </row>
    <row r="33" spans="2:15">
      <c r="F33" s="46">
        <f t="shared" ref="F33:O33" si="10">SUM(F31:F32)</f>
        <v>0</v>
      </c>
      <c r="G33" s="46">
        <f t="shared" si="10"/>
        <v>0</v>
      </c>
      <c r="H33" s="46">
        <f t="shared" si="10"/>
        <v>0</v>
      </c>
      <c r="I33" s="46">
        <f t="shared" si="10"/>
        <v>0</v>
      </c>
      <c r="J33" s="46">
        <f t="shared" si="10"/>
        <v>0</v>
      </c>
      <c r="K33" s="46">
        <f t="shared" si="10"/>
        <v>0</v>
      </c>
      <c r="L33" s="46">
        <f t="shared" si="10"/>
        <v>0</v>
      </c>
      <c r="M33" s="46">
        <f t="shared" si="10"/>
        <v>0</v>
      </c>
      <c r="N33" s="46">
        <f t="shared" si="10"/>
        <v>0</v>
      </c>
      <c r="O33" s="46">
        <f t="shared" si="10"/>
        <v>0</v>
      </c>
    </row>
    <row r="35" spans="2:15">
      <c r="B35" s="74" t="s">
        <v>85</v>
      </c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</row>
    <row r="36" spans="2:15" ht="3" customHeight="1"/>
    <row r="37" spans="2:15">
      <c r="F37" s="75">
        <f t="shared" ref="F37:O37" si="11">F5</f>
        <v>2018</v>
      </c>
      <c r="G37" s="75">
        <f t="shared" si="11"/>
        <v>2019</v>
      </c>
      <c r="H37" s="75">
        <f t="shared" si="11"/>
        <v>2020</v>
      </c>
      <c r="I37" s="75">
        <f t="shared" si="11"/>
        <v>2021</v>
      </c>
      <c r="J37" s="75">
        <f t="shared" si="11"/>
        <v>2022</v>
      </c>
      <c r="K37" s="75">
        <f t="shared" si="11"/>
        <v>2023</v>
      </c>
      <c r="L37" s="75">
        <f t="shared" si="11"/>
        <v>2024</v>
      </c>
      <c r="M37" s="75">
        <f t="shared" si="11"/>
        <v>2025</v>
      </c>
      <c r="N37" s="75">
        <f t="shared" si="11"/>
        <v>2026</v>
      </c>
      <c r="O37" s="75">
        <f t="shared" si="11"/>
        <v>2027</v>
      </c>
    </row>
    <row r="38" spans="2:15" ht="3" customHeight="1"/>
    <row r="39" spans="2:15">
      <c r="B39" t="s">
        <v>86</v>
      </c>
      <c r="F39" s="41">
        <f t="shared" ref="F39:O39" si="12">F15-F33</f>
        <v>870.5542419562986</v>
      </c>
      <c r="G39" s="41">
        <f t="shared" si="12"/>
        <v>875.43097885105067</v>
      </c>
      <c r="H39" s="41">
        <f t="shared" si="12"/>
        <v>880.33503462106069</v>
      </c>
      <c r="I39" s="41">
        <f t="shared" si="12"/>
        <v>885.26656230327853</v>
      </c>
      <c r="J39" s="41">
        <f t="shared" si="12"/>
        <v>890.22571579194914</v>
      </c>
      <c r="K39" s="41">
        <f t="shared" si="12"/>
        <v>895.21264984341531</v>
      </c>
      <c r="L39" s="41">
        <f t="shared" si="12"/>
        <v>900.22752008094426</v>
      </c>
      <c r="M39" s="41">
        <f t="shared" si="12"/>
        <v>905.27048299958324</v>
      </c>
      <c r="N39" s="41">
        <f t="shared" si="12"/>
        <v>910.34169597105097</v>
      </c>
      <c r="O39" s="41">
        <f t="shared" si="12"/>
        <v>915.44131724863712</v>
      </c>
    </row>
    <row r="40" spans="2:15">
      <c r="B40" t="s">
        <v>87</v>
      </c>
      <c r="C40" s="77">
        <v>0</v>
      </c>
    </row>
    <row r="41" spans="2:15">
      <c r="B41" t="s">
        <v>88</v>
      </c>
      <c r="F41" s="46">
        <f>F39+E76-C40</f>
        <v>1354.5542419562985</v>
      </c>
      <c r="G41" s="46">
        <f>G39+F76-C40</f>
        <v>875.43097885105067</v>
      </c>
      <c r="H41" s="46">
        <f>H39+G76-C40</f>
        <v>880.33503462106069</v>
      </c>
      <c r="I41" s="46">
        <f>I39+H76-C40</f>
        <v>911.58681773168837</v>
      </c>
      <c r="J41" s="46">
        <f>J39+I76-C40</f>
        <v>1801.8125335236375</v>
      </c>
      <c r="K41" s="46">
        <f>K39+J76-C40</f>
        <v>2697.0251833670527</v>
      </c>
      <c r="L41" s="46">
        <f>L39+K76-C40</f>
        <v>3597.2527034479972</v>
      </c>
      <c r="M41" s="46">
        <f>M39+L76-C40</f>
        <v>4502.5231864475809</v>
      </c>
      <c r="N41" s="46">
        <f>N39+M76-C40</f>
        <v>5412.8648824186321</v>
      </c>
      <c r="O41" s="46">
        <f>O39+N76-C40</f>
        <v>6328.3061996672695</v>
      </c>
    </row>
    <row r="43" spans="2:15">
      <c r="B43" s="74" t="s">
        <v>89</v>
      </c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</row>
    <row r="44" spans="2:15" ht="3" customHeight="1"/>
    <row r="45" spans="2:15">
      <c r="E45" s="72" t="s">
        <v>141</v>
      </c>
      <c r="F45" s="75">
        <f t="shared" ref="F45:O45" si="13">F5</f>
        <v>2018</v>
      </c>
      <c r="G45" s="75">
        <f t="shared" si="13"/>
        <v>2019</v>
      </c>
      <c r="H45" s="75">
        <f t="shared" si="13"/>
        <v>2020</v>
      </c>
      <c r="I45" s="75">
        <f t="shared" si="13"/>
        <v>2021</v>
      </c>
      <c r="J45" s="75">
        <f t="shared" si="13"/>
        <v>2022</v>
      </c>
      <c r="K45" s="75">
        <f t="shared" si="13"/>
        <v>2023</v>
      </c>
      <c r="L45" s="75">
        <f t="shared" si="13"/>
        <v>2024</v>
      </c>
      <c r="M45" s="75">
        <f t="shared" si="13"/>
        <v>2025</v>
      </c>
      <c r="N45" s="75">
        <f t="shared" si="13"/>
        <v>2026</v>
      </c>
      <c r="O45" s="75">
        <f t="shared" si="13"/>
        <v>2027</v>
      </c>
    </row>
    <row r="46" spans="2:15" ht="3" customHeight="1"/>
    <row r="47" spans="2:15">
      <c r="B47" t="str">
        <f>B31</f>
        <v>Short-term borrowings</v>
      </c>
      <c r="C47" t="s">
        <v>90</v>
      </c>
      <c r="D47" s="78">
        <v>1</v>
      </c>
      <c r="E47" s="161">
        <v>1</v>
      </c>
      <c r="F47" s="41">
        <f>MIN(E94-F31,F41*D47)*E47</f>
        <v>657</v>
      </c>
      <c r="G47" s="41">
        <f>MIN(F94-G31,G41*D47)*E47</f>
        <v>0</v>
      </c>
      <c r="H47" s="41">
        <f>MIN(G94-H31,H41*D47)*E47</f>
        <v>0</v>
      </c>
      <c r="I47" s="41">
        <f>MIN(H94-I31,I41*D47)*E47</f>
        <v>0</v>
      </c>
      <c r="J47" s="41">
        <f>MIN(I94-J31,J41*D47)*E47</f>
        <v>0</v>
      </c>
      <c r="K47" s="41">
        <f>MIN(J94-K31,K41*D47)*E47</f>
        <v>0</v>
      </c>
      <c r="L47" s="41">
        <f>MIN(K94-L31,L41*D47)*E47</f>
        <v>0</v>
      </c>
      <c r="M47" s="41">
        <f>MIN(L94-M31,M41*D47)*E47</f>
        <v>0</v>
      </c>
      <c r="N47" s="41">
        <f>MIN(M94-N31,N41*D47)*E47</f>
        <v>0</v>
      </c>
      <c r="O47" s="41">
        <f>MIN(N94-O31,O41*D47)*E47</f>
        <v>0</v>
      </c>
    </row>
    <row r="48" spans="2:15">
      <c r="B48" t="str">
        <f>B32</f>
        <v>Long-term debt</v>
      </c>
      <c r="E48" s="161">
        <v>1</v>
      </c>
      <c r="F48" s="49">
        <f>MIN(E95-F32,F41*D47-F47)*E48</f>
        <v>697.55424195629848</v>
      </c>
      <c r="G48" s="49">
        <f>MIN(F95-G32,G41*D47-G47)*E48</f>
        <v>875.43097885105067</v>
      </c>
      <c r="H48" s="49">
        <f>MIN(G95-H32,H41*D47-H47)*E48</f>
        <v>854.01477919265085</v>
      </c>
      <c r="I48" s="49">
        <f>MIN(H95-I32,I41*D47-I47)*E48</f>
        <v>0</v>
      </c>
      <c r="J48" s="49">
        <f>MIN(I95-J32,J41*D47-J47)*E48</f>
        <v>0</v>
      </c>
      <c r="K48" s="49">
        <f>MIN(J95-K32,K41*D47-K47)*E48</f>
        <v>0</v>
      </c>
      <c r="L48" s="49">
        <f>MIN(K95-L32,L41*D47-L47)*E48</f>
        <v>0</v>
      </c>
      <c r="M48" s="49">
        <f>MIN(L95-M32,M41*D47-M47)*E48</f>
        <v>0</v>
      </c>
      <c r="N48" s="49">
        <f>MIN(M95-N32,N41*D47-N47)*E48</f>
        <v>0</v>
      </c>
      <c r="O48" s="49">
        <f>MIN(N95-O32,O41*D47-O47)*E48</f>
        <v>0</v>
      </c>
    </row>
    <row r="49" spans="2:15">
      <c r="B49" s="40" t="s">
        <v>91</v>
      </c>
      <c r="F49" s="51">
        <f t="shared" ref="F49:O49" si="14">SUM(F47:F48)</f>
        <v>1354.5542419562985</v>
      </c>
      <c r="G49" s="51">
        <f t="shared" si="14"/>
        <v>875.43097885105067</v>
      </c>
      <c r="H49" s="51">
        <f t="shared" si="14"/>
        <v>854.01477919265085</v>
      </c>
      <c r="I49" s="51">
        <f t="shared" si="14"/>
        <v>0</v>
      </c>
      <c r="J49" s="51">
        <f t="shared" si="14"/>
        <v>0</v>
      </c>
      <c r="K49" s="51">
        <f t="shared" si="14"/>
        <v>0</v>
      </c>
      <c r="L49" s="51">
        <f t="shared" si="14"/>
        <v>0</v>
      </c>
      <c r="M49" s="51">
        <f t="shared" si="14"/>
        <v>0</v>
      </c>
      <c r="N49" s="51">
        <f t="shared" si="14"/>
        <v>0</v>
      </c>
      <c r="O49" s="51">
        <f t="shared" si="14"/>
        <v>0</v>
      </c>
    </row>
    <row r="51" spans="2:15">
      <c r="B51" s="74" t="s">
        <v>92</v>
      </c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</row>
    <row r="52" spans="2:15" ht="3" customHeight="1"/>
    <row r="53" spans="2:15">
      <c r="C53" s="79" t="s">
        <v>93</v>
      </c>
      <c r="D53" s="73" t="s">
        <v>94</v>
      </c>
      <c r="F53" s="75">
        <f t="shared" ref="F53:O53" si="15">F5</f>
        <v>2018</v>
      </c>
      <c r="G53" s="75">
        <f t="shared" si="15"/>
        <v>2019</v>
      </c>
      <c r="H53" s="75">
        <f t="shared" si="15"/>
        <v>2020</v>
      </c>
      <c r="I53" s="75">
        <f t="shared" si="15"/>
        <v>2021</v>
      </c>
      <c r="J53" s="75">
        <f t="shared" si="15"/>
        <v>2022</v>
      </c>
      <c r="K53" s="75">
        <f t="shared" si="15"/>
        <v>2023</v>
      </c>
      <c r="L53" s="75">
        <f t="shared" si="15"/>
        <v>2024</v>
      </c>
      <c r="M53" s="75">
        <f t="shared" si="15"/>
        <v>2025</v>
      </c>
      <c r="N53" s="75">
        <f t="shared" si="15"/>
        <v>2026</v>
      </c>
      <c r="O53" s="75">
        <f t="shared" si="15"/>
        <v>2027</v>
      </c>
    </row>
    <row r="54" spans="2:15" ht="3" customHeight="1"/>
    <row r="55" spans="2:15">
      <c r="B55" t="s">
        <v>95</v>
      </c>
      <c r="C55" t="s">
        <v>96</v>
      </c>
      <c r="D55" t="s">
        <v>96</v>
      </c>
      <c r="F55" s="80">
        <v>0.03</v>
      </c>
      <c r="G55" s="80">
        <v>0.03</v>
      </c>
      <c r="H55" s="80">
        <v>0.03</v>
      </c>
      <c r="I55" s="80">
        <v>0.03</v>
      </c>
      <c r="J55" s="80">
        <v>0.03</v>
      </c>
      <c r="K55" s="80">
        <v>0.03</v>
      </c>
      <c r="L55" s="80">
        <v>0.03</v>
      </c>
      <c r="M55" s="80">
        <v>0.03</v>
      </c>
      <c r="N55" s="80">
        <v>0.03</v>
      </c>
      <c r="O55" s="80">
        <v>0.03</v>
      </c>
    </row>
    <row r="56" spans="2:15">
      <c r="B56" t="s">
        <v>97</v>
      </c>
      <c r="C56" s="82">
        <v>0</v>
      </c>
      <c r="D56" s="83">
        <v>0.01</v>
      </c>
      <c r="F56" s="41">
        <f>IF(D59=1,-1*AVERAGE(F76,E76)*(F55*C56+D56),0)</f>
        <v>0</v>
      </c>
      <c r="G56" s="41">
        <f>IF(D59=1,-1*AVERAGE(G76,F76)*(G55*C56+D56),0)</f>
        <v>0</v>
      </c>
      <c r="H56" s="41">
        <f>IF(D59=1,-1*AVERAGE(H76,G76)*(H55*C56+D56),0)</f>
        <v>0</v>
      </c>
      <c r="I56" s="41">
        <f>IF(D59=1,-1*AVERAGE(I76,H76)*(I55*C56+D56),0)</f>
        <v>0</v>
      </c>
      <c r="J56" s="41">
        <f>IF(D59=1,-1*AVERAGE(J76,I76)*(J55*C56+D56),0)</f>
        <v>0</v>
      </c>
      <c r="K56" s="41">
        <f>IF(D59=1,-1*AVERAGE(K76,J76)*(K55*C56+D56),0)</f>
        <v>0</v>
      </c>
      <c r="L56" s="41">
        <f>IF(D59=1,-1*AVERAGE(L76,K76)*(L55*C56+D56),0)</f>
        <v>0</v>
      </c>
      <c r="M56" s="41">
        <f>IF(D59=1,-1*AVERAGE(M76,L76)*(M55*C56+D56),0)</f>
        <v>0</v>
      </c>
      <c r="N56" s="41">
        <f>IF(D59=1,-1*AVERAGE(N76,M76)*(N55*C56+D56),0)</f>
        <v>0</v>
      </c>
      <c r="O56" s="41">
        <f>IF(D59=1,-1*AVERAGE(O76,N76)*(O55*C56+D56),0)</f>
        <v>0</v>
      </c>
    </row>
    <row r="57" spans="2:15">
      <c r="B57" t="str">
        <f>B31</f>
        <v>Short-term borrowings</v>
      </c>
      <c r="C57" s="53">
        <v>1</v>
      </c>
      <c r="D57" s="81">
        <v>0.01</v>
      </c>
      <c r="F57" s="49">
        <f>IF(D59=1,AVERAGE(F94,E94)*(F55*C57+D57),0)</f>
        <v>0</v>
      </c>
      <c r="G57" s="49">
        <f>IF(D59=1,AVERAGE(G94,F94)*(G55*C57+D57),0)</f>
        <v>0</v>
      </c>
      <c r="H57" s="49">
        <f>IF(D59=1,AVERAGE(H94,G94)*(H55*C57+D57),0)</f>
        <v>0</v>
      </c>
      <c r="I57" s="49">
        <f>IF(D59=1,AVERAGE(I94,H94)*(I55*C57+D57),0)</f>
        <v>0</v>
      </c>
      <c r="J57" s="49">
        <f>IF(D59=1,AVERAGE(J94,I94)*(J55*C57+D57),0)</f>
        <v>0</v>
      </c>
      <c r="K57" s="49">
        <f>IF(D59=1,AVERAGE(K94,J94)*(K55*C57+D57),0)</f>
        <v>0</v>
      </c>
      <c r="L57" s="49">
        <f>IF(D59=1,AVERAGE(L94,K94)*(L55*C57+D57),0)</f>
        <v>0</v>
      </c>
      <c r="M57" s="49">
        <f>IF(D59=1,AVERAGE(M94,L94)*(M55*C57+D57),0)</f>
        <v>0</v>
      </c>
      <c r="N57" s="49">
        <f>IF(D59=1,AVERAGE(N94,M94)*(N55*C57+D57),0)</f>
        <v>0</v>
      </c>
      <c r="O57" s="49">
        <f>IF(D59=1,AVERAGE(O94,N94)*(O55*C57+D57),0)</f>
        <v>0</v>
      </c>
    </row>
    <row r="58" spans="2:15">
      <c r="B58" t="str">
        <f>B32</f>
        <v>Long-term debt</v>
      </c>
      <c r="C58" s="53">
        <v>1</v>
      </c>
      <c r="D58" s="81">
        <v>0.01</v>
      </c>
      <c r="F58" s="49">
        <f>IF(D59=1,AVERAGE(F95,E95)*(F55*C58+D58),0)</f>
        <v>0</v>
      </c>
      <c r="G58" s="49">
        <f>IF(D59=1,AVERAGE(G95,F95)*(G55*C58+D58),0)</f>
        <v>0</v>
      </c>
      <c r="H58" s="49">
        <f>IF(D59=1,AVERAGE(H95,G95)*(H55*C58+D58),0)</f>
        <v>0</v>
      </c>
      <c r="I58" s="49">
        <f>IF(D59=1,AVERAGE(I95,H95)*(I55*C58+D58),0)</f>
        <v>0</v>
      </c>
      <c r="J58" s="49">
        <f>IF(D59=1,AVERAGE(J95,I95)*(J55*C58+D58),0)</f>
        <v>0</v>
      </c>
      <c r="K58" s="49">
        <f>IF(D59=1,AVERAGE(K95,J95)*(K55*C58+D58),0)</f>
        <v>0</v>
      </c>
      <c r="L58" s="49">
        <f>IF(D59=1,AVERAGE(L95,K95)*(L55*C58+D58),0)</f>
        <v>0</v>
      </c>
      <c r="M58" s="49">
        <f>IF(D59=1,AVERAGE(M95,L95)*(M55*C58+D58),0)</f>
        <v>0</v>
      </c>
      <c r="N58" s="49">
        <f>IF(D59=1,AVERAGE(N95,M95)*(N55*C58+D58),0)</f>
        <v>0</v>
      </c>
      <c r="O58" s="49">
        <f>IF(D59=1,AVERAGE(O95,N95)*(O55*C58+D58),0)</f>
        <v>0</v>
      </c>
    </row>
    <row r="59" spans="2:15">
      <c r="B59" t="s">
        <v>99</v>
      </c>
      <c r="C59" t="s">
        <v>100</v>
      </c>
      <c r="D59" s="84">
        <v>0</v>
      </c>
      <c r="F59" s="46">
        <f t="shared" ref="F59:O59" si="16">SUM(F56:F58)</f>
        <v>0</v>
      </c>
      <c r="G59" s="46">
        <f t="shared" si="16"/>
        <v>0</v>
      </c>
      <c r="H59" s="46">
        <f t="shared" si="16"/>
        <v>0</v>
      </c>
      <c r="I59" s="46">
        <f t="shared" si="16"/>
        <v>0</v>
      </c>
      <c r="J59" s="46">
        <f t="shared" si="16"/>
        <v>0</v>
      </c>
      <c r="K59" s="46">
        <f t="shared" si="16"/>
        <v>0</v>
      </c>
      <c r="L59" s="46">
        <f t="shared" si="16"/>
        <v>0</v>
      </c>
      <c r="M59" s="46">
        <f t="shared" si="16"/>
        <v>0</v>
      </c>
      <c r="N59" s="46">
        <f t="shared" si="16"/>
        <v>0</v>
      </c>
      <c r="O59" s="46">
        <f t="shared" si="16"/>
        <v>0</v>
      </c>
    </row>
    <row r="61" spans="2:15">
      <c r="B61" s="74" t="s">
        <v>102</v>
      </c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</row>
    <row r="62" spans="2:15" ht="3" customHeight="1"/>
    <row r="63" spans="2:15">
      <c r="F63" s="75">
        <f t="shared" ref="F63:O63" si="17">F5</f>
        <v>2018</v>
      </c>
      <c r="G63" s="75">
        <f t="shared" si="17"/>
        <v>2019</v>
      </c>
      <c r="H63" s="75">
        <f t="shared" si="17"/>
        <v>2020</v>
      </c>
      <c r="I63" s="75">
        <f t="shared" si="17"/>
        <v>2021</v>
      </c>
      <c r="J63" s="75">
        <f t="shared" si="17"/>
        <v>2022</v>
      </c>
      <c r="K63" s="75">
        <f t="shared" si="17"/>
        <v>2023</v>
      </c>
      <c r="L63" s="75">
        <f t="shared" si="17"/>
        <v>2024</v>
      </c>
      <c r="M63" s="75">
        <f t="shared" si="17"/>
        <v>2025</v>
      </c>
      <c r="N63" s="75">
        <f t="shared" si="17"/>
        <v>2026</v>
      </c>
      <c r="O63" s="75">
        <f t="shared" si="17"/>
        <v>2027</v>
      </c>
    </row>
    <row r="64" spans="2:15" ht="3" customHeight="1"/>
    <row r="65" spans="2:15">
      <c r="B65" t="s">
        <v>4</v>
      </c>
      <c r="F65" s="58">
        <f>'Operating Model'!G30</f>
        <v>1286.1647993746747</v>
      </c>
      <c r="G65" s="58">
        <f>'Operating Model'!H30</f>
        <v>1293.3697350668463</v>
      </c>
      <c r="H65" s="58">
        <f>'Operating Model'!I30</f>
        <v>1300.6150319151884</v>
      </c>
      <c r="I65" s="58">
        <f>'Operating Model'!J30</f>
        <v>1307.9009160178921</v>
      </c>
      <c r="J65" s="58">
        <f>'Operating Model'!K30</f>
        <v>1315.2276147397215</v>
      </c>
      <c r="K65" s="58">
        <f>'Operating Model'!L30</f>
        <v>1322.5953567191127</v>
      </c>
      <c r="L65" s="58">
        <f>'Operating Model'!M30</f>
        <v>1330.0043718753041</v>
      </c>
      <c r="M65" s="58">
        <f>'Operating Model'!N30</f>
        <v>1337.4548914155112</v>
      </c>
      <c r="N65" s="58">
        <f>'Operating Model'!O30</f>
        <v>1344.9471478421492</v>
      </c>
      <c r="O65" s="58">
        <f>'Operating Model'!P30</f>
        <v>1352.4813749600762</v>
      </c>
    </row>
    <row r="66" spans="2:15">
      <c r="B66" t="s">
        <v>103</v>
      </c>
      <c r="F66" s="49">
        <f t="shared" ref="F66:O66" si="18">F59</f>
        <v>0</v>
      </c>
      <c r="G66" s="49">
        <f t="shared" si="18"/>
        <v>0</v>
      </c>
      <c r="H66" s="49">
        <f t="shared" si="18"/>
        <v>0</v>
      </c>
      <c r="I66" s="49">
        <f t="shared" si="18"/>
        <v>0</v>
      </c>
      <c r="J66" s="49">
        <f t="shared" si="18"/>
        <v>0</v>
      </c>
      <c r="K66" s="49">
        <f t="shared" si="18"/>
        <v>0</v>
      </c>
      <c r="L66" s="49">
        <f t="shared" si="18"/>
        <v>0</v>
      </c>
      <c r="M66" s="49">
        <f t="shared" si="18"/>
        <v>0</v>
      </c>
      <c r="N66" s="49">
        <f t="shared" si="18"/>
        <v>0</v>
      </c>
      <c r="O66" s="49">
        <f t="shared" si="18"/>
        <v>0</v>
      </c>
    </row>
    <row r="67" spans="2:15">
      <c r="B67" t="s">
        <v>105</v>
      </c>
      <c r="F67" s="62">
        <f>'Operating Model'!G37</f>
        <v>0</v>
      </c>
      <c r="G67" s="62">
        <f>'Operating Model'!H37</f>
        <v>0</v>
      </c>
      <c r="H67" s="62">
        <f>'Operating Model'!I37</f>
        <v>0</v>
      </c>
      <c r="I67" s="62">
        <f>'Operating Model'!J37</f>
        <v>0</v>
      </c>
      <c r="J67" s="62">
        <f>'Operating Model'!K37</f>
        <v>0</v>
      </c>
      <c r="K67" s="62">
        <f>'Operating Model'!L37</f>
        <v>0</v>
      </c>
      <c r="L67" s="62">
        <f>'Operating Model'!M37</f>
        <v>0</v>
      </c>
      <c r="M67" s="62">
        <f>'Operating Model'!N37</f>
        <v>0</v>
      </c>
      <c r="N67" s="62">
        <f>'Operating Model'!O37</f>
        <v>0</v>
      </c>
      <c r="O67" s="62">
        <f>'Operating Model'!P37</f>
        <v>0</v>
      </c>
    </row>
    <row r="68" spans="2:15">
      <c r="B68" t="s">
        <v>106</v>
      </c>
      <c r="F68" s="46">
        <f t="shared" ref="F68:O68" si="19">F65-F66-F67</f>
        <v>1286.1647993746747</v>
      </c>
      <c r="G68" s="46">
        <f t="shared" si="19"/>
        <v>1293.3697350668463</v>
      </c>
      <c r="H68" s="46">
        <f t="shared" si="19"/>
        <v>1300.6150319151884</v>
      </c>
      <c r="I68" s="46">
        <f t="shared" si="19"/>
        <v>1307.9009160178921</v>
      </c>
      <c r="J68" s="46">
        <f t="shared" si="19"/>
        <v>1315.2276147397215</v>
      </c>
      <c r="K68" s="46">
        <f t="shared" si="19"/>
        <v>1322.5953567191127</v>
      </c>
      <c r="L68" s="46">
        <f t="shared" si="19"/>
        <v>1330.0043718753041</v>
      </c>
      <c r="M68" s="46">
        <f t="shared" si="19"/>
        <v>1337.4548914155112</v>
      </c>
      <c r="N68" s="46">
        <f t="shared" si="19"/>
        <v>1344.9471478421492</v>
      </c>
      <c r="O68" s="46">
        <f t="shared" si="19"/>
        <v>1352.4813749600762</v>
      </c>
    </row>
    <row r="69" spans="2:15">
      <c r="B69" t="s">
        <v>78</v>
      </c>
      <c r="F69" s="62">
        <f>'Operating Model'!G41</f>
        <v>410.76467414583851</v>
      </c>
      <c r="G69" s="62">
        <f>'Operating Model'!H41</f>
        <v>413.06572690616554</v>
      </c>
      <c r="H69" s="62">
        <f>'Operating Model'!I41</f>
        <v>415.37966987867276</v>
      </c>
      <c r="I69" s="62">
        <f>'Operating Model'!J41</f>
        <v>417.70657527272994</v>
      </c>
      <c r="J69" s="62">
        <f>'Operating Model'!K41</f>
        <v>420.04651570221472</v>
      </c>
      <c r="K69" s="62">
        <f>'Operating Model'!L41</f>
        <v>422.39956418777945</v>
      </c>
      <c r="L69" s="62">
        <f>'Operating Model'!M41</f>
        <v>424.76579415912852</v>
      </c>
      <c r="M69" s="62">
        <f>'Operating Model'!N41</f>
        <v>427.14527945730987</v>
      </c>
      <c r="N69" s="62">
        <f>'Operating Model'!O41</f>
        <v>429.5380943370215</v>
      </c>
      <c r="O69" s="62">
        <f>'Operating Model'!P41</f>
        <v>431.94431346892486</v>
      </c>
    </row>
    <row r="70" spans="2:15">
      <c r="B70" t="s">
        <v>107</v>
      </c>
      <c r="F70" s="46">
        <f t="shared" ref="F70:O70" si="20">F68-F69</f>
        <v>875.40012522883615</v>
      </c>
      <c r="G70" s="46">
        <f t="shared" si="20"/>
        <v>880.30400816068072</v>
      </c>
      <c r="H70" s="46">
        <f t="shared" si="20"/>
        <v>885.23536203651565</v>
      </c>
      <c r="I70" s="46">
        <f t="shared" si="20"/>
        <v>890.19434074516221</v>
      </c>
      <c r="J70" s="46">
        <f t="shared" si="20"/>
        <v>895.18109903750678</v>
      </c>
      <c r="K70" s="46">
        <f t="shared" si="20"/>
        <v>900.19579253133327</v>
      </c>
      <c r="L70" s="46">
        <f t="shared" si="20"/>
        <v>905.23857771617554</v>
      </c>
      <c r="M70" s="46">
        <f t="shared" si="20"/>
        <v>910.30961195820123</v>
      </c>
      <c r="N70" s="46">
        <f t="shared" si="20"/>
        <v>915.40905350512776</v>
      </c>
      <c r="O70" s="46">
        <f t="shared" si="20"/>
        <v>920.53706149115135</v>
      </c>
    </row>
    <row r="72" spans="2:15">
      <c r="B72" s="74" t="s">
        <v>108</v>
      </c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</row>
    <row r="73" spans="2:15" ht="3" customHeight="1"/>
    <row r="74" spans="2:15">
      <c r="C74" s="79" t="s">
        <v>109</v>
      </c>
      <c r="D74" s="85" t="s">
        <v>110</v>
      </c>
      <c r="E74" s="79" t="s">
        <v>111</v>
      </c>
      <c r="F74" s="75">
        <f t="shared" ref="F74:O74" si="21">F5</f>
        <v>2018</v>
      </c>
      <c r="G74" s="75">
        <f t="shared" si="21"/>
        <v>2019</v>
      </c>
      <c r="H74" s="75">
        <f t="shared" si="21"/>
        <v>2020</v>
      </c>
      <c r="I74" s="75">
        <f t="shared" si="21"/>
        <v>2021</v>
      </c>
      <c r="J74" s="75">
        <f t="shared" si="21"/>
        <v>2022</v>
      </c>
      <c r="K74" s="75">
        <f t="shared" si="21"/>
        <v>2023</v>
      </c>
      <c r="L74" s="75">
        <f t="shared" si="21"/>
        <v>2024</v>
      </c>
      <c r="M74" s="75">
        <f t="shared" si="21"/>
        <v>2025</v>
      </c>
      <c r="N74" s="75">
        <f t="shared" si="21"/>
        <v>2026</v>
      </c>
      <c r="O74" s="75">
        <f t="shared" si="21"/>
        <v>2027</v>
      </c>
    </row>
    <row r="75" spans="2:15" ht="3" customHeight="1"/>
    <row r="76" spans="2:15">
      <c r="B76" t="s">
        <v>112</v>
      </c>
      <c r="C76" s="58">
        <f>'Balance Sheet'!E9</f>
        <v>484</v>
      </c>
      <c r="E76" s="41">
        <f>C76+D76</f>
        <v>484</v>
      </c>
      <c r="F76" s="41">
        <f t="shared" ref="F76:O76" si="22">E76+F39-F49</f>
        <v>0</v>
      </c>
      <c r="G76" s="41">
        <f t="shared" si="22"/>
        <v>0</v>
      </c>
      <c r="H76" s="41">
        <f t="shared" si="22"/>
        <v>26.320255428409837</v>
      </c>
      <c r="I76" s="41">
        <f t="shared" si="22"/>
        <v>911.58681773168837</v>
      </c>
      <c r="J76" s="41">
        <f t="shared" si="22"/>
        <v>1801.8125335236375</v>
      </c>
      <c r="K76" s="41">
        <f t="shared" si="22"/>
        <v>2697.0251833670527</v>
      </c>
      <c r="L76" s="41">
        <f t="shared" si="22"/>
        <v>3597.2527034479972</v>
      </c>
      <c r="M76" s="41">
        <f t="shared" si="22"/>
        <v>4502.5231864475809</v>
      </c>
      <c r="N76" s="41">
        <f t="shared" si="22"/>
        <v>5412.8648824186321</v>
      </c>
      <c r="O76" s="41">
        <f t="shared" si="22"/>
        <v>6328.3061996672695</v>
      </c>
    </row>
    <row r="78" spans="2:15">
      <c r="B78" t="s">
        <v>113</v>
      </c>
      <c r="C78" s="58">
        <f>'Working Capital'!E14</f>
        <v>1479</v>
      </c>
      <c r="E78" s="41">
        <f>C78+D78</f>
        <v>1479</v>
      </c>
      <c r="F78" s="58">
        <f>'Working Capital'!F14</f>
        <v>1487.2851745700884</v>
      </c>
      <c r="G78" s="58">
        <f>'Working Capital'!G14</f>
        <v>1495.6167616605669</v>
      </c>
      <c r="H78" s="58">
        <f>'Working Capital'!H14</f>
        <v>1503.9950212686183</v>
      </c>
      <c r="I78" s="58">
        <f>'Working Capital'!I14</f>
        <v>1512.4202148478978</v>
      </c>
      <c r="J78" s="58">
        <f>'Working Capital'!J14</f>
        <v>1520.8926053166915</v>
      </c>
      <c r="K78" s="58">
        <f>'Working Capital'!K14</f>
        <v>1529.4124570661206</v>
      </c>
      <c r="L78" s="58">
        <f>'Working Capital'!L14</f>
        <v>1537.9800359683927</v>
      </c>
      <c r="M78" s="58">
        <f>'Working Capital'!M14</f>
        <v>1546.5956093850991</v>
      </c>
      <c r="N78" s="58">
        <f>'Working Capital'!N14</f>
        <v>1555.2594461755573</v>
      </c>
      <c r="O78" s="58">
        <f>'Working Capital'!O14</f>
        <v>1563.9718167052015</v>
      </c>
    </row>
    <row r="80" spans="2:15">
      <c r="B80" t="s">
        <v>114</v>
      </c>
    </row>
    <row r="81" spans="2:15">
      <c r="B81" s="40" t="str">
        <f>'Balance Sheet'!C18</f>
        <v>Plant assets, net of depreciation</v>
      </c>
      <c r="C81" s="58">
        <f>'Balance Sheet'!E18</f>
        <v>2103</v>
      </c>
      <c r="E81" s="41">
        <f>C81+D81</f>
        <v>2103</v>
      </c>
      <c r="F81" s="41">
        <f t="shared" ref="F81:O81" si="23">E81-F17-F9</f>
        <v>2107.0224075039082</v>
      </c>
      <c r="G81" s="41">
        <f t="shared" si="23"/>
        <v>2111.0673480357827</v>
      </c>
      <c r="H81" s="41">
        <f t="shared" si="23"/>
        <v>2115.1349478228512</v>
      </c>
      <c r="I81" s="41">
        <f t="shared" si="23"/>
        <v>2119.2253337994516</v>
      </c>
      <c r="J81" s="41">
        <f t="shared" si="23"/>
        <v>2123.3386336109911</v>
      </c>
      <c r="K81" s="41">
        <f t="shared" si="23"/>
        <v>2127.4749756179312</v>
      </c>
      <c r="L81" s="41">
        <f t="shared" si="23"/>
        <v>2131.6344888997928</v>
      </c>
      <c r="M81" s="41">
        <f t="shared" si="23"/>
        <v>2135.8173032591844</v>
      </c>
      <c r="N81" s="41">
        <f t="shared" si="23"/>
        <v>2140.0235492258525</v>
      </c>
      <c r="O81" s="41">
        <f t="shared" si="23"/>
        <v>2144.2533580607551</v>
      </c>
    </row>
    <row r="82" spans="2:15">
      <c r="B82" s="40" t="str">
        <f>'Balance Sheet'!C19</f>
        <v>Goodwill</v>
      </c>
      <c r="C82" s="62">
        <f>'Balance Sheet'!E19</f>
        <v>2133</v>
      </c>
      <c r="E82" s="49">
        <f>C82+D82</f>
        <v>2133</v>
      </c>
      <c r="F82" s="49">
        <f t="shared" ref="F82:O82" si="24">E82</f>
        <v>2133</v>
      </c>
      <c r="G82" s="49">
        <f t="shared" si="24"/>
        <v>2133</v>
      </c>
      <c r="H82" s="49">
        <f t="shared" si="24"/>
        <v>2133</v>
      </c>
      <c r="I82" s="49">
        <f t="shared" si="24"/>
        <v>2133</v>
      </c>
      <c r="J82" s="49">
        <f t="shared" si="24"/>
        <v>2133</v>
      </c>
      <c r="K82" s="49">
        <f t="shared" si="24"/>
        <v>2133</v>
      </c>
      <c r="L82" s="49">
        <f t="shared" si="24"/>
        <v>2133</v>
      </c>
      <c r="M82" s="49">
        <f t="shared" si="24"/>
        <v>2133</v>
      </c>
      <c r="N82" s="49">
        <f t="shared" si="24"/>
        <v>2133</v>
      </c>
      <c r="O82" s="49">
        <f t="shared" si="24"/>
        <v>2133</v>
      </c>
    </row>
    <row r="83" spans="2:15">
      <c r="B83" s="40" t="str">
        <f>'Balance Sheet'!C20</f>
        <v>Other intangible assets, net of amortization</v>
      </c>
      <c r="C83" s="62">
        <f>'Balance Sheet'!E20</f>
        <v>527</v>
      </c>
      <c r="E83" s="49">
        <f>C83+D83</f>
        <v>527</v>
      </c>
      <c r="F83" s="49">
        <f t="shared" ref="F83:O83" si="25">E83</f>
        <v>527</v>
      </c>
      <c r="G83" s="49">
        <f t="shared" si="25"/>
        <v>527</v>
      </c>
      <c r="H83" s="49">
        <f t="shared" si="25"/>
        <v>527</v>
      </c>
      <c r="I83" s="49">
        <f t="shared" si="25"/>
        <v>527</v>
      </c>
      <c r="J83" s="49">
        <f t="shared" si="25"/>
        <v>527</v>
      </c>
      <c r="K83" s="49">
        <f t="shared" si="25"/>
        <v>527</v>
      </c>
      <c r="L83" s="49">
        <f t="shared" si="25"/>
        <v>527</v>
      </c>
      <c r="M83" s="49">
        <f t="shared" si="25"/>
        <v>527</v>
      </c>
      <c r="N83" s="49">
        <f t="shared" si="25"/>
        <v>527</v>
      </c>
      <c r="O83" s="49">
        <f t="shared" si="25"/>
        <v>527</v>
      </c>
    </row>
    <row r="84" spans="2:15">
      <c r="B84" s="40" t="str">
        <f>'Balance Sheet'!C21</f>
        <v>Other assets</v>
      </c>
      <c r="C84" s="62">
        <f>'Balance Sheet'!E21</f>
        <v>136</v>
      </c>
      <c r="E84" s="49">
        <f>C84+D84</f>
        <v>136</v>
      </c>
      <c r="F84" s="49">
        <f t="shared" ref="F84:O84" si="26">E84</f>
        <v>136</v>
      </c>
      <c r="G84" s="49">
        <f t="shared" si="26"/>
        <v>136</v>
      </c>
      <c r="H84" s="49">
        <f t="shared" si="26"/>
        <v>136</v>
      </c>
      <c r="I84" s="49">
        <f t="shared" si="26"/>
        <v>136</v>
      </c>
      <c r="J84" s="49">
        <f t="shared" si="26"/>
        <v>136</v>
      </c>
      <c r="K84" s="49">
        <f t="shared" si="26"/>
        <v>136</v>
      </c>
      <c r="L84" s="49">
        <f t="shared" si="26"/>
        <v>136</v>
      </c>
      <c r="M84" s="49">
        <f t="shared" si="26"/>
        <v>136</v>
      </c>
      <c r="N84" s="49">
        <f t="shared" si="26"/>
        <v>136</v>
      </c>
      <c r="O84" s="49">
        <f t="shared" si="26"/>
        <v>136</v>
      </c>
    </row>
    <row r="85" spans="2:15">
      <c r="B85" t="s">
        <v>116</v>
      </c>
      <c r="C85" s="46">
        <f>C76+C78+SUM(C81:C84)</f>
        <v>6862</v>
      </c>
      <c r="E85" s="46">
        <f t="shared" ref="E85:O85" si="27">E76+E78+SUM(E81:E84)</f>
        <v>6862</v>
      </c>
      <c r="F85" s="46">
        <f t="shared" si="27"/>
        <v>6390.3075820739959</v>
      </c>
      <c r="G85" s="46">
        <f t="shared" si="27"/>
        <v>6402.6841096963499</v>
      </c>
      <c r="H85" s="46">
        <f t="shared" si="27"/>
        <v>6441.4502245198792</v>
      </c>
      <c r="I85" s="46">
        <f t="shared" si="27"/>
        <v>7339.2323663790376</v>
      </c>
      <c r="J85" s="46">
        <f t="shared" si="27"/>
        <v>8242.0437724513195</v>
      </c>
      <c r="K85" s="46">
        <f t="shared" si="27"/>
        <v>9149.9126160511041</v>
      </c>
      <c r="L85" s="46">
        <f t="shared" si="27"/>
        <v>10062.867228316183</v>
      </c>
      <c r="M85" s="46">
        <f t="shared" si="27"/>
        <v>10980.936099091865</v>
      </c>
      <c r="N85" s="46">
        <f t="shared" si="27"/>
        <v>11904.147877820042</v>
      </c>
      <c r="O85" s="46">
        <f t="shared" si="27"/>
        <v>12832.531374433227</v>
      </c>
    </row>
    <row r="87" spans="2:15">
      <c r="B87" t="s">
        <v>117</v>
      </c>
      <c r="C87" s="58">
        <f>'Working Capital'!E21</f>
        <v>1332</v>
      </c>
      <c r="E87" s="41">
        <f>C87+D87</f>
        <v>1332</v>
      </c>
      <c r="F87" s="58">
        <f>'Working Capital'!F21</f>
        <v>1339.4616988014591</v>
      </c>
      <c r="G87" s="58">
        <f>'Working Capital'!G21</f>
        <v>1346.965197114182</v>
      </c>
      <c r="H87" s="58">
        <f>'Working Capital'!H21</f>
        <v>1354.510729093847</v>
      </c>
      <c r="I87" s="58">
        <f>'Working Capital'!I21</f>
        <v>1362.0985302078429</v>
      </c>
      <c r="J87" s="58">
        <f>'Working Capital'!J21</f>
        <v>1369.7288372426183</v>
      </c>
      <c r="K87" s="58">
        <f>'Working Capital'!K21</f>
        <v>1377.4018883110696</v>
      </c>
      <c r="L87" s="58">
        <f>'Working Capital'!L21</f>
        <v>1385.1179228599722</v>
      </c>
      <c r="M87" s="58">
        <f>'Working Capital'!M21</f>
        <v>1392.8771816774522</v>
      </c>
      <c r="N87" s="58">
        <f>'Working Capital'!N21</f>
        <v>1400.6799069005017</v>
      </c>
      <c r="O87" s="58">
        <f>'Working Capital'!O21</f>
        <v>1408.5263420225342</v>
      </c>
    </row>
    <row r="89" spans="2:15">
      <c r="B89" t="s">
        <v>118</v>
      </c>
    </row>
    <row r="90" spans="2:15">
      <c r="B90" s="40" t="str">
        <f>'Balance Sheet'!C39</f>
        <v>Deferred taxes</v>
      </c>
      <c r="C90" s="58">
        <f>'Balance Sheet'!E39</f>
        <v>367</v>
      </c>
      <c r="E90" s="41">
        <f>C90+D90</f>
        <v>367</v>
      </c>
      <c r="F90" s="41">
        <f t="shared" ref="F90:O90" si="28">E90</f>
        <v>367</v>
      </c>
      <c r="G90" s="41">
        <f t="shared" si="28"/>
        <v>367</v>
      </c>
      <c r="H90" s="41">
        <f t="shared" si="28"/>
        <v>367</v>
      </c>
      <c r="I90" s="41">
        <f t="shared" si="28"/>
        <v>367</v>
      </c>
      <c r="J90" s="41">
        <f t="shared" si="28"/>
        <v>367</v>
      </c>
      <c r="K90" s="41">
        <f t="shared" si="28"/>
        <v>367</v>
      </c>
      <c r="L90" s="41">
        <f t="shared" si="28"/>
        <v>367</v>
      </c>
      <c r="M90" s="41">
        <f t="shared" si="28"/>
        <v>367</v>
      </c>
      <c r="N90" s="41">
        <f t="shared" si="28"/>
        <v>367</v>
      </c>
      <c r="O90" s="41">
        <f t="shared" si="28"/>
        <v>367</v>
      </c>
    </row>
    <row r="91" spans="2:15">
      <c r="B91" s="40" t="str">
        <f>'Balance Sheet'!C40</f>
        <v>Other liabilities</v>
      </c>
      <c r="C91" s="62">
        <f>'Balance Sheet'!E40</f>
        <v>983</v>
      </c>
      <c r="E91" s="49">
        <f>C91+D91</f>
        <v>983</v>
      </c>
      <c r="F91" s="49">
        <f t="shared" ref="F91:O91" si="29">E91</f>
        <v>983</v>
      </c>
      <c r="G91" s="49">
        <f t="shared" si="29"/>
        <v>983</v>
      </c>
      <c r="H91" s="49">
        <f t="shared" si="29"/>
        <v>983</v>
      </c>
      <c r="I91" s="49">
        <f t="shared" si="29"/>
        <v>983</v>
      </c>
      <c r="J91" s="49">
        <f t="shared" si="29"/>
        <v>983</v>
      </c>
      <c r="K91" s="49">
        <f t="shared" si="29"/>
        <v>983</v>
      </c>
      <c r="L91" s="49">
        <f t="shared" si="29"/>
        <v>983</v>
      </c>
      <c r="M91" s="49">
        <f t="shared" si="29"/>
        <v>983</v>
      </c>
      <c r="N91" s="49">
        <f t="shared" si="29"/>
        <v>983</v>
      </c>
      <c r="O91" s="49">
        <f t="shared" si="29"/>
        <v>983</v>
      </c>
    </row>
    <row r="93" spans="2:15">
      <c r="B93" t="s">
        <v>119</v>
      </c>
    </row>
    <row r="94" spans="2:15">
      <c r="B94" s="40" t="str">
        <f>B31</f>
        <v>Short-term borrowings</v>
      </c>
      <c r="C94" s="41">
        <f>'Balance Sheet'!E34</f>
        <v>657</v>
      </c>
      <c r="E94" s="41">
        <f>C94+D94</f>
        <v>657</v>
      </c>
      <c r="F94" s="41">
        <f t="shared" ref="F94:O94" si="30">E94-F31-F47</f>
        <v>0</v>
      </c>
      <c r="G94" s="41">
        <f t="shared" si="30"/>
        <v>0</v>
      </c>
      <c r="H94" s="41">
        <f t="shared" si="30"/>
        <v>0</v>
      </c>
      <c r="I94" s="41">
        <f t="shared" si="30"/>
        <v>0</v>
      </c>
      <c r="J94" s="41">
        <f t="shared" si="30"/>
        <v>0</v>
      </c>
      <c r="K94" s="41">
        <f t="shared" si="30"/>
        <v>0</v>
      </c>
      <c r="L94" s="41">
        <f t="shared" si="30"/>
        <v>0</v>
      </c>
      <c r="M94" s="41">
        <f t="shared" si="30"/>
        <v>0</v>
      </c>
      <c r="N94" s="41">
        <f t="shared" si="30"/>
        <v>0</v>
      </c>
      <c r="O94" s="41">
        <f t="shared" si="30"/>
        <v>0</v>
      </c>
    </row>
    <row r="95" spans="2:15">
      <c r="B95" s="40" t="str">
        <f>B32</f>
        <v>Long-term debt</v>
      </c>
      <c r="C95" s="49">
        <f>'Balance Sheet'!E35</f>
        <v>2427</v>
      </c>
      <c r="E95" s="49">
        <f>C95+D95</f>
        <v>2427</v>
      </c>
      <c r="F95" s="49">
        <f t="shared" ref="F95:O95" si="31">E95-F32-F48</f>
        <v>1729.4457580437015</v>
      </c>
      <c r="G95" s="49">
        <f t="shared" si="31"/>
        <v>854.01477919265085</v>
      </c>
      <c r="H95" s="49">
        <f t="shared" si="31"/>
        <v>0</v>
      </c>
      <c r="I95" s="49">
        <f t="shared" si="31"/>
        <v>0</v>
      </c>
      <c r="J95" s="49">
        <f t="shared" si="31"/>
        <v>0</v>
      </c>
      <c r="K95" s="49">
        <f t="shared" si="31"/>
        <v>0</v>
      </c>
      <c r="L95" s="49">
        <f t="shared" si="31"/>
        <v>0</v>
      </c>
      <c r="M95" s="49">
        <f t="shared" si="31"/>
        <v>0</v>
      </c>
      <c r="N95" s="49">
        <f t="shared" si="31"/>
        <v>0</v>
      </c>
      <c r="O95" s="49">
        <f t="shared" si="31"/>
        <v>0</v>
      </c>
    </row>
    <row r="96" spans="2:15">
      <c r="C96" s="46">
        <f>C87+SUM(C90:C91)+SUM(C94:C95)</f>
        <v>5766</v>
      </c>
      <c r="E96" s="46">
        <f t="shared" ref="E96:O96" si="32">E87+SUM(E90:E91)+SUM(E94:E95)</f>
        <v>5766</v>
      </c>
      <c r="F96" s="46">
        <f t="shared" si="32"/>
        <v>4418.9074568451606</v>
      </c>
      <c r="G96" s="46">
        <f t="shared" si="32"/>
        <v>3550.9799763068331</v>
      </c>
      <c r="H96" s="46">
        <f t="shared" si="32"/>
        <v>2704.5107290938467</v>
      </c>
      <c r="I96" s="46">
        <f t="shared" si="32"/>
        <v>2712.0985302078429</v>
      </c>
      <c r="J96" s="46">
        <f t="shared" si="32"/>
        <v>2719.7288372426183</v>
      </c>
      <c r="K96" s="46">
        <f t="shared" si="32"/>
        <v>2727.4018883110693</v>
      </c>
      <c r="L96" s="46">
        <f t="shared" si="32"/>
        <v>2735.1179228599722</v>
      </c>
      <c r="M96" s="46">
        <f t="shared" si="32"/>
        <v>2742.8771816774524</v>
      </c>
      <c r="N96" s="46">
        <f t="shared" si="32"/>
        <v>2750.6799069005019</v>
      </c>
      <c r="O96" s="46">
        <f t="shared" si="32"/>
        <v>2758.5263420225342</v>
      </c>
    </row>
    <row r="98" spans="2:15">
      <c r="B98" t="s">
        <v>120</v>
      </c>
      <c r="C98" s="58">
        <f>'Balance Sheet'!E47</f>
        <v>1096</v>
      </c>
      <c r="D98" s="41"/>
      <c r="E98" s="41">
        <f>D98+C98</f>
        <v>1096</v>
      </c>
      <c r="F98" s="41">
        <f t="shared" ref="F98:O98" si="33">E98+F70+F14</f>
        <v>1971.4001252288363</v>
      </c>
      <c r="G98" s="41">
        <f t="shared" si="33"/>
        <v>2851.7041333895168</v>
      </c>
      <c r="H98" s="41">
        <f t="shared" si="33"/>
        <v>3736.9394954260324</v>
      </c>
      <c r="I98" s="41">
        <f t="shared" si="33"/>
        <v>4627.1338361711951</v>
      </c>
      <c r="J98" s="41">
        <f t="shared" si="33"/>
        <v>5522.3149352087021</v>
      </c>
      <c r="K98" s="41">
        <f t="shared" si="33"/>
        <v>6422.5107277400357</v>
      </c>
      <c r="L98" s="41">
        <f t="shared" si="33"/>
        <v>7327.749305456211</v>
      </c>
      <c r="M98" s="41">
        <f t="shared" si="33"/>
        <v>8238.0589174144116</v>
      </c>
      <c r="N98" s="41">
        <f t="shared" si="33"/>
        <v>9153.4679709195389</v>
      </c>
      <c r="O98" s="41">
        <f t="shared" si="33"/>
        <v>10074.005032410691</v>
      </c>
    </row>
    <row r="100" spans="2:15">
      <c r="B100" s="56" t="s">
        <v>121</v>
      </c>
      <c r="C100" s="86">
        <f>C85-C96-C98</f>
        <v>0</v>
      </c>
      <c r="E100" s="86">
        <f t="shared" ref="E100:O100" si="34">E85-E96-E98</f>
        <v>0</v>
      </c>
      <c r="F100" s="86">
        <f t="shared" si="34"/>
        <v>0</v>
      </c>
      <c r="G100" s="86">
        <f t="shared" si="34"/>
        <v>0</v>
      </c>
      <c r="H100" s="86">
        <f t="shared" si="34"/>
        <v>0</v>
      </c>
      <c r="I100" s="86">
        <f t="shared" si="34"/>
        <v>0</v>
      </c>
      <c r="J100" s="86">
        <f t="shared" si="34"/>
        <v>0</v>
      </c>
      <c r="K100" s="86">
        <f t="shared" si="34"/>
        <v>0</v>
      </c>
      <c r="L100" s="86">
        <f t="shared" si="34"/>
        <v>0</v>
      </c>
      <c r="M100" s="86">
        <f t="shared" si="34"/>
        <v>0</v>
      </c>
      <c r="N100" s="86">
        <f t="shared" si="34"/>
        <v>0</v>
      </c>
      <c r="O100" s="86">
        <f t="shared" si="34"/>
        <v>0</v>
      </c>
    </row>
    <row r="102" spans="2:15">
      <c r="B102" t="s">
        <v>122</v>
      </c>
      <c r="E102" s="41">
        <f t="shared" ref="E102:O102" si="35">E78-E87</f>
        <v>147</v>
      </c>
      <c r="F102" s="41">
        <f t="shared" si="35"/>
        <v>147.82347576862935</v>
      </c>
      <c r="G102" s="41">
        <f t="shared" si="35"/>
        <v>148.65156454638486</v>
      </c>
      <c r="H102" s="41">
        <f t="shared" si="35"/>
        <v>149.48429217477133</v>
      </c>
      <c r="I102" s="41">
        <f t="shared" si="35"/>
        <v>150.32168464005485</v>
      </c>
      <c r="J102" s="41">
        <f t="shared" si="35"/>
        <v>151.16376807407323</v>
      </c>
      <c r="K102" s="41">
        <f t="shared" si="35"/>
        <v>152.01056875505105</v>
      </c>
      <c r="L102" s="41">
        <f t="shared" si="35"/>
        <v>152.86211310842054</v>
      </c>
      <c r="M102" s="41">
        <f t="shared" si="35"/>
        <v>153.71842770764692</v>
      </c>
      <c r="N102" s="41">
        <f t="shared" si="35"/>
        <v>154.57953927505559</v>
      </c>
      <c r="O102" s="41">
        <f t="shared" si="35"/>
        <v>155.44547468266728</v>
      </c>
    </row>
    <row r="103" spans="2:15">
      <c r="B103" t="s">
        <v>123</v>
      </c>
      <c r="F103" s="41">
        <f t="shared" ref="F103:O103" si="36">F102-E102</f>
        <v>0.82347576862935057</v>
      </c>
      <c r="G103" s="41">
        <f t="shared" si="36"/>
        <v>0.82808877775551082</v>
      </c>
      <c r="H103" s="41">
        <f t="shared" si="36"/>
        <v>0.83272762838646486</v>
      </c>
      <c r="I103" s="41">
        <f t="shared" si="36"/>
        <v>0.83739246528352851</v>
      </c>
      <c r="J103" s="41">
        <f t="shared" si="36"/>
        <v>0.84208343401837737</v>
      </c>
      <c r="K103" s="41">
        <f t="shared" si="36"/>
        <v>0.84680068097782168</v>
      </c>
      <c r="L103" s="41">
        <f t="shared" si="36"/>
        <v>0.85154435336949064</v>
      </c>
      <c r="M103" s="41">
        <f t="shared" si="36"/>
        <v>0.85631459922637987</v>
      </c>
      <c r="N103" s="41">
        <f t="shared" si="36"/>
        <v>0.86111156740867045</v>
      </c>
      <c r="O103" s="41">
        <f t="shared" si="36"/>
        <v>0.86593540761168697</v>
      </c>
    </row>
    <row r="105" spans="2:15">
      <c r="B105" t="s">
        <v>124</v>
      </c>
      <c r="E105" s="41">
        <f t="shared" ref="E105:O105" si="37">E82+E83+E84-SUM(E90:E91)</f>
        <v>1446</v>
      </c>
      <c r="F105" s="41">
        <f t="shared" si="37"/>
        <v>1446</v>
      </c>
      <c r="G105" s="41">
        <f t="shared" si="37"/>
        <v>1446</v>
      </c>
      <c r="H105" s="41">
        <f t="shared" si="37"/>
        <v>1446</v>
      </c>
      <c r="I105" s="41">
        <f t="shared" si="37"/>
        <v>1446</v>
      </c>
      <c r="J105" s="41">
        <f t="shared" si="37"/>
        <v>1446</v>
      </c>
      <c r="K105" s="41">
        <f t="shared" si="37"/>
        <v>1446</v>
      </c>
      <c r="L105" s="41">
        <f t="shared" si="37"/>
        <v>1446</v>
      </c>
      <c r="M105" s="41">
        <f t="shared" si="37"/>
        <v>1446</v>
      </c>
      <c r="N105" s="41">
        <f t="shared" si="37"/>
        <v>1446</v>
      </c>
      <c r="O105" s="41">
        <f t="shared" si="37"/>
        <v>1446</v>
      </c>
    </row>
    <row r="106" spans="2:15">
      <c r="B106" t="s">
        <v>125</v>
      </c>
      <c r="F106" s="41">
        <f t="shared" ref="F106:O106" si="38">F105-E105</f>
        <v>0</v>
      </c>
      <c r="G106" s="41">
        <f t="shared" si="38"/>
        <v>0</v>
      </c>
      <c r="H106" s="41">
        <f t="shared" si="38"/>
        <v>0</v>
      </c>
      <c r="I106" s="41">
        <f t="shared" si="38"/>
        <v>0</v>
      </c>
      <c r="J106" s="41">
        <f t="shared" si="38"/>
        <v>0</v>
      </c>
      <c r="K106" s="41">
        <f t="shared" si="38"/>
        <v>0</v>
      </c>
      <c r="L106" s="41">
        <f t="shared" si="38"/>
        <v>0</v>
      </c>
      <c r="M106" s="41">
        <f t="shared" si="38"/>
        <v>0</v>
      </c>
      <c r="N106" s="41">
        <f t="shared" si="38"/>
        <v>0</v>
      </c>
      <c r="O106" s="41">
        <f t="shared" si="38"/>
        <v>0</v>
      </c>
    </row>
    <row r="109" spans="2:15">
      <c r="B109" s="74" t="s">
        <v>126</v>
      </c>
      <c r="C109" s="36"/>
      <c r="D109" s="36"/>
      <c r="E109" s="36"/>
      <c r="F109" s="36"/>
      <c r="G109" s="36"/>
      <c r="H109" s="36"/>
      <c r="I109" s="36"/>
      <c r="J109" s="36"/>
      <c r="K109" s="36"/>
      <c r="L109" s="36"/>
      <c r="M109" s="36"/>
      <c r="N109" s="36"/>
      <c r="O109" s="36"/>
    </row>
    <row r="110" spans="2:15" ht="3" customHeight="1"/>
    <row r="111" spans="2:15">
      <c r="F111" s="75">
        <f t="shared" ref="F111:O111" si="39">F5</f>
        <v>2018</v>
      </c>
      <c r="G111" s="75">
        <f t="shared" si="39"/>
        <v>2019</v>
      </c>
      <c r="H111" s="75">
        <f t="shared" si="39"/>
        <v>2020</v>
      </c>
      <c r="I111" s="75">
        <f t="shared" si="39"/>
        <v>2021</v>
      </c>
      <c r="J111" s="75">
        <f t="shared" si="39"/>
        <v>2022</v>
      </c>
      <c r="K111" s="75">
        <f t="shared" si="39"/>
        <v>2023</v>
      </c>
      <c r="L111" s="75">
        <f t="shared" si="39"/>
        <v>2024</v>
      </c>
      <c r="M111" s="75">
        <f t="shared" si="39"/>
        <v>2025</v>
      </c>
      <c r="N111" s="75">
        <f t="shared" si="39"/>
        <v>2026</v>
      </c>
      <c r="O111" s="75">
        <f t="shared" si="39"/>
        <v>2027</v>
      </c>
    </row>
    <row r="112" spans="2:15" ht="3" customHeight="1"/>
    <row r="113" spans="2:15">
      <c r="B113" t="s">
        <v>132</v>
      </c>
      <c r="F113" s="43">
        <f t="shared" ref="F113:O113" si="40">F70/AVERAGE(E98:F98)</f>
        <v>0.57077661178195915</v>
      </c>
      <c r="G113" s="43">
        <f t="shared" si="40"/>
        <v>0.36503627579174758</v>
      </c>
      <c r="H113" s="43">
        <f t="shared" si="40"/>
        <v>0.26871550865641697</v>
      </c>
      <c r="I113" s="43">
        <f t="shared" si="40"/>
        <v>0.21286143854866657</v>
      </c>
      <c r="J113" s="43">
        <f t="shared" si="40"/>
        <v>0.17639994431260131</v>
      </c>
      <c r="K113" s="43">
        <f t="shared" si="40"/>
        <v>0.15072564772939651</v>
      </c>
      <c r="L113" s="43">
        <f t="shared" si="40"/>
        <v>0.13166857579867208</v>
      </c>
      <c r="M113" s="43">
        <f t="shared" si="40"/>
        <v>0.11696271712003957</v>
      </c>
      <c r="N113" s="43">
        <f t="shared" si="40"/>
        <v>0.1052706941009503</v>
      </c>
      <c r="O113" s="43">
        <f t="shared" si="40"/>
        <v>9.5752266700019587E-2</v>
      </c>
    </row>
    <row r="114" spans="2:15">
      <c r="B114" t="s">
        <v>133</v>
      </c>
      <c r="F114" s="43">
        <f t="shared" ref="F114:O114" si="41">F70/AVERAGE(E85:F85)</f>
        <v>0.13211285956160027</v>
      </c>
      <c r="G114" s="43">
        <f t="shared" si="41"/>
        <v>0.13762285310119837</v>
      </c>
      <c r="H114" s="43">
        <f t="shared" si="41"/>
        <v>0.13784274424447371</v>
      </c>
      <c r="I114" s="43">
        <f t="shared" si="41"/>
        <v>0.12919452064487247</v>
      </c>
      <c r="J114" s="43">
        <f t="shared" si="41"/>
        <v>0.11490472167508939</v>
      </c>
      <c r="K114" s="43">
        <f t="shared" si="41"/>
        <v>0.10351863498535908</v>
      </c>
      <c r="L114" s="43">
        <f t="shared" si="41"/>
        <v>9.4232962127192552E-2</v>
      </c>
      <c r="M114" s="43">
        <f t="shared" si="41"/>
        <v>8.6515692795188601E-2</v>
      </c>
      <c r="N114" s="43">
        <f t="shared" si="41"/>
        <v>8.0000497654162631E-2</v>
      </c>
      <c r="O114" s="43">
        <f t="shared" si="41"/>
        <v>7.4426890699753029E-2</v>
      </c>
    </row>
    <row r="117" spans="2:15">
      <c r="B117" s="74" t="s">
        <v>134</v>
      </c>
      <c r="C117" s="36"/>
      <c r="D117" s="36"/>
      <c r="E117" s="36"/>
      <c r="F117" s="36"/>
      <c r="G117" s="36"/>
      <c r="H117" s="36"/>
      <c r="I117" s="36"/>
      <c r="J117" s="36"/>
      <c r="K117" s="36"/>
      <c r="L117" s="36"/>
      <c r="M117" s="36"/>
      <c r="N117" s="36"/>
      <c r="O117" s="36"/>
    </row>
    <row r="118" spans="2:15" ht="3" customHeight="1"/>
    <row r="119" spans="2:15">
      <c r="F119" s="75">
        <f t="shared" ref="F119:O119" si="42">F5</f>
        <v>2018</v>
      </c>
      <c r="G119" s="75">
        <f t="shared" si="42"/>
        <v>2019</v>
      </c>
      <c r="H119" s="75">
        <f t="shared" si="42"/>
        <v>2020</v>
      </c>
      <c r="I119" s="75">
        <f t="shared" si="42"/>
        <v>2021</v>
      </c>
      <c r="J119" s="75">
        <f t="shared" si="42"/>
        <v>2022</v>
      </c>
      <c r="K119" s="75">
        <f t="shared" si="42"/>
        <v>2023</v>
      </c>
      <c r="L119" s="75">
        <f t="shared" si="42"/>
        <v>2024</v>
      </c>
      <c r="M119" s="75">
        <f t="shared" si="42"/>
        <v>2025</v>
      </c>
      <c r="N119" s="75">
        <f t="shared" si="42"/>
        <v>2026</v>
      </c>
      <c r="O119" s="75">
        <f t="shared" si="42"/>
        <v>2027</v>
      </c>
    </row>
    <row r="120" spans="2:15" ht="3" customHeight="1"/>
    <row r="121" spans="2:15">
      <c r="B121" t="s">
        <v>135</v>
      </c>
      <c r="F121" s="87">
        <f t="shared" ref="F121:O121" si="43">SUM(F94:F95)/F7</f>
        <v>1.1117075545121831</v>
      </c>
      <c r="G121" s="87">
        <f t="shared" si="43"/>
        <v>0.54591235465482701</v>
      </c>
      <c r="H121" s="87">
        <f t="shared" si="43"/>
        <v>0</v>
      </c>
      <c r="I121" s="87">
        <f t="shared" si="43"/>
        <v>0</v>
      </c>
      <c r="J121" s="87">
        <f t="shared" si="43"/>
        <v>0</v>
      </c>
      <c r="K121" s="87">
        <f t="shared" si="43"/>
        <v>0</v>
      </c>
      <c r="L121" s="87">
        <f t="shared" si="43"/>
        <v>0</v>
      </c>
      <c r="M121" s="87">
        <f t="shared" si="43"/>
        <v>0</v>
      </c>
      <c r="N121" s="87">
        <f t="shared" si="43"/>
        <v>0</v>
      </c>
      <c r="O121" s="87">
        <f t="shared" si="43"/>
        <v>0</v>
      </c>
    </row>
    <row r="122" spans="2:15">
      <c r="B122" t="s">
        <v>136</v>
      </c>
      <c r="F122" s="87">
        <f t="shared" ref="F122:O122" si="44">(SUM(F94:F95)-F76)/F7</f>
        <v>1.1117075545121831</v>
      </c>
      <c r="G122" s="87">
        <f t="shared" si="44"/>
        <v>0.54591235465482701</v>
      </c>
      <c r="H122" s="87">
        <f t="shared" si="44"/>
        <v>-1.6730986983347261E-2</v>
      </c>
      <c r="I122" s="87">
        <f t="shared" si="44"/>
        <v>-0.57624002836365884</v>
      </c>
      <c r="J122" s="87">
        <f t="shared" si="44"/>
        <v>-1.1326322296378231</v>
      </c>
      <c r="K122" s="87">
        <f t="shared" si="44"/>
        <v>-1.6859249536928149</v>
      </c>
      <c r="L122" s="87">
        <f t="shared" si="44"/>
        <v>-2.2361354666927009</v>
      </c>
      <c r="M122" s="87">
        <f t="shared" si="44"/>
        <v>-2.7832809386174495</v>
      </c>
      <c r="N122" s="87">
        <f t="shared" si="44"/>
        <v>-3.3273784437987359</v>
      </c>
      <c r="O122" s="87">
        <f t="shared" si="44"/>
        <v>-3.8684449614527816</v>
      </c>
    </row>
    <row r="123" spans="2:15">
      <c r="B123" t="s">
        <v>137</v>
      </c>
      <c r="F123" s="87" t="e">
        <f t="shared" ref="F123:O123" si="45">(F7+F9)/(F59)</f>
        <v>#DIV/0!</v>
      </c>
      <c r="G123" s="87" t="e">
        <f t="shared" si="45"/>
        <v>#DIV/0!</v>
      </c>
      <c r="H123" s="87" t="e">
        <f t="shared" si="45"/>
        <v>#DIV/0!</v>
      </c>
      <c r="I123" s="87" t="e">
        <f t="shared" si="45"/>
        <v>#DIV/0!</v>
      </c>
      <c r="J123" s="87" t="e">
        <f t="shared" si="45"/>
        <v>#DIV/0!</v>
      </c>
      <c r="K123" s="87" t="e">
        <f t="shared" si="45"/>
        <v>#DIV/0!</v>
      </c>
      <c r="L123" s="87" t="e">
        <f t="shared" si="45"/>
        <v>#DIV/0!</v>
      </c>
      <c r="M123" s="87" t="e">
        <f t="shared" si="45"/>
        <v>#DIV/0!</v>
      </c>
      <c r="N123" s="87" t="e">
        <f t="shared" si="45"/>
        <v>#DIV/0!</v>
      </c>
      <c r="O123" s="87" t="e">
        <f t="shared" si="45"/>
        <v>#DIV/0!</v>
      </c>
    </row>
    <row r="124" spans="2:15">
      <c r="B124" t="s">
        <v>138</v>
      </c>
      <c r="F124" s="87">
        <f t="shared" ref="F124:O124" si="46">SUM(F94:F95)/(SUM(F94:F95)+F98)</f>
        <v>0.46731093717266842</v>
      </c>
      <c r="G124" s="87">
        <f t="shared" si="46"/>
        <v>0.23045859638543606</v>
      </c>
      <c r="H124" s="87">
        <f t="shared" si="46"/>
        <v>0</v>
      </c>
      <c r="I124" s="87">
        <f t="shared" si="46"/>
        <v>0</v>
      </c>
      <c r="J124" s="87">
        <f t="shared" si="46"/>
        <v>0</v>
      </c>
      <c r="K124" s="87">
        <f t="shared" si="46"/>
        <v>0</v>
      </c>
      <c r="L124" s="87">
        <f t="shared" si="46"/>
        <v>0</v>
      </c>
      <c r="M124" s="87">
        <f t="shared" si="46"/>
        <v>0</v>
      </c>
      <c r="N124" s="87">
        <f t="shared" si="46"/>
        <v>0</v>
      </c>
      <c r="O124" s="87">
        <f t="shared" si="46"/>
        <v>0</v>
      </c>
    </row>
  </sheetData>
  <pageMargins left="0.7" right="0.7" top="0.75" bottom="0.75" header="0.3" footer="0.3"/>
  <pageSetup scale="4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L50"/>
  <sheetViews>
    <sheetView tabSelected="1" view="pageBreakPreview" zoomScale="72" workbookViewId="0">
      <selection activeCell="A2" sqref="A2"/>
    </sheetView>
  </sheetViews>
  <sheetFormatPr defaultRowHeight="15"/>
  <cols>
    <col min="3" max="3" width="30" customWidth="1"/>
    <col min="4" max="16" width="14" customWidth="1"/>
    <col min="18" max="18" width="30" customWidth="1"/>
    <col min="30" max="30" width="30" customWidth="1"/>
    <col min="42" max="42" width="30" customWidth="1"/>
    <col min="54" max="54" width="30" customWidth="1"/>
  </cols>
  <sheetData>
    <row r="1" spans="1:64">
      <c r="A1" t="s">
        <v>148</v>
      </c>
    </row>
    <row r="2" spans="1:64">
      <c r="S2" s="35" t="s">
        <v>142</v>
      </c>
      <c r="T2" s="35">
        <v>1</v>
      </c>
    </row>
    <row r="3" spans="1:64">
      <c r="C3" s="36" t="s">
        <v>143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R3" t="s">
        <v>144</v>
      </c>
      <c r="AD3" t="s">
        <v>145</v>
      </c>
      <c r="AP3" t="s">
        <v>146</v>
      </c>
      <c r="BB3" t="s">
        <v>147</v>
      </c>
    </row>
    <row r="4" spans="1:64" ht="3" customHeight="1">
      <c r="A4" t="s">
        <v>148</v>
      </c>
    </row>
    <row r="5" spans="1:64">
      <c r="D5" s="37">
        <v>2015</v>
      </c>
      <c r="E5" s="37">
        <f t="shared" ref="E5:P5" si="0">D5+1</f>
        <v>2016</v>
      </c>
      <c r="F5" s="37">
        <f t="shared" si="0"/>
        <v>2017</v>
      </c>
      <c r="G5" s="39">
        <f t="shared" si="0"/>
        <v>2018</v>
      </c>
      <c r="H5" s="39">
        <f t="shared" si="0"/>
        <v>2019</v>
      </c>
      <c r="I5" s="39">
        <f t="shared" si="0"/>
        <v>2020</v>
      </c>
      <c r="J5" s="39">
        <f t="shared" si="0"/>
        <v>2021</v>
      </c>
      <c r="K5" s="39">
        <f t="shared" si="0"/>
        <v>2022</v>
      </c>
      <c r="L5" s="39">
        <f t="shared" si="0"/>
        <v>2023</v>
      </c>
      <c r="M5" s="39">
        <f t="shared" si="0"/>
        <v>2024</v>
      </c>
      <c r="N5" s="39">
        <f t="shared" si="0"/>
        <v>2025</v>
      </c>
      <c r="O5" s="39">
        <f t="shared" si="0"/>
        <v>2026</v>
      </c>
      <c r="P5" s="39">
        <f t="shared" si="0"/>
        <v>2027</v>
      </c>
      <c r="S5" s="39">
        <f t="shared" ref="S5:AB5" si="1">G5</f>
        <v>2018</v>
      </c>
      <c r="T5" s="39">
        <f t="shared" si="1"/>
        <v>2019</v>
      </c>
      <c r="U5" s="39">
        <f t="shared" si="1"/>
        <v>2020</v>
      </c>
      <c r="V5" s="39">
        <f t="shared" si="1"/>
        <v>2021</v>
      </c>
      <c r="W5" s="39">
        <f t="shared" si="1"/>
        <v>2022</v>
      </c>
      <c r="X5" s="39">
        <f t="shared" si="1"/>
        <v>2023</v>
      </c>
      <c r="Y5" s="39">
        <f t="shared" si="1"/>
        <v>2024</v>
      </c>
      <c r="Z5" s="39">
        <f t="shared" si="1"/>
        <v>2025</v>
      </c>
      <c r="AA5" s="39">
        <f t="shared" si="1"/>
        <v>2026</v>
      </c>
      <c r="AB5" s="39">
        <f t="shared" si="1"/>
        <v>2027</v>
      </c>
      <c r="AE5" s="38">
        <f t="shared" ref="AE5:AN5" si="2">G5</f>
        <v>2018</v>
      </c>
      <c r="AF5" s="38">
        <f t="shared" si="2"/>
        <v>2019</v>
      </c>
      <c r="AG5" s="38">
        <f t="shared" si="2"/>
        <v>2020</v>
      </c>
      <c r="AH5" s="38">
        <f t="shared" si="2"/>
        <v>2021</v>
      </c>
      <c r="AI5" s="38">
        <f t="shared" si="2"/>
        <v>2022</v>
      </c>
      <c r="AJ5" s="38">
        <f t="shared" si="2"/>
        <v>2023</v>
      </c>
      <c r="AK5" s="38">
        <f t="shared" si="2"/>
        <v>2024</v>
      </c>
      <c r="AL5" s="38">
        <f t="shared" si="2"/>
        <v>2025</v>
      </c>
      <c r="AM5" s="38">
        <f t="shared" si="2"/>
        <v>2026</v>
      </c>
      <c r="AN5" s="38">
        <f t="shared" si="2"/>
        <v>2027</v>
      </c>
      <c r="AQ5" s="38">
        <f t="shared" ref="AQ5:AZ5" si="3">G5</f>
        <v>2018</v>
      </c>
      <c r="AR5" s="38">
        <f t="shared" si="3"/>
        <v>2019</v>
      </c>
      <c r="AS5" s="38">
        <f t="shared" si="3"/>
        <v>2020</v>
      </c>
      <c r="AT5" s="38">
        <f t="shared" si="3"/>
        <v>2021</v>
      </c>
      <c r="AU5" s="38">
        <f t="shared" si="3"/>
        <v>2022</v>
      </c>
      <c r="AV5" s="38">
        <f t="shared" si="3"/>
        <v>2023</v>
      </c>
      <c r="AW5" s="38">
        <f t="shared" si="3"/>
        <v>2024</v>
      </c>
      <c r="AX5" s="38">
        <f t="shared" si="3"/>
        <v>2025</v>
      </c>
      <c r="AY5" s="38">
        <f t="shared" si="3"/>
        <v>2026</v>
      </c>
      <c r="AZ5" s="38">
        <f t="shared" si="3"/>
        <v>2027</v>
      </c>
      <c r="BC5" s="38">
        <f t="shared" ref="BC5:BL5" si="4">G5</f>
        <v>2018</v>
      </c>
      <c r="BD5" s="38">
        <f t="shared" si="4"/>
        <v>2019</v>
      </c>
      <c r="BE5" s="38">
        <f t="shared" si="4"/>
        <v>2020</v>
      </c>
      <c r="BF5" s="38">
        <f t="shared" si="4"/>
        <v>2021</v>
      </c>
      <c r="BG5" s="38">
        <f t="shared" si="4"/>
        <v>2022</v>
      </c>
      <c r="BH5" s="38">
        <f t="shared" si="4"/>
        <v>2023</v>
      </c>
      <c r="BI5" s="38">
        <f t="shared" si="4"/>
        <v>2024</v>
      </c>
      <c r="BJ5" s="38">
        <f t="shared" si="4"/>
        <v>2025</v>
      </c>
      <c r="BK5" s="38">
        <f t="shared" si="4"/>
        <v>2026</v>
      </c>
      <c r="BL5" s="38">
        <f t="shared" si="4"/>
        <v>2027</v>
      </c>
    </row>
    <row r="6" spans="1:64" ht="3" customHeight="1">
      <c r="D6" t="s">
        <v>148</v>
      </c>
    </row>
    <row r="7" spans="1:64">
      <c r="C7" t="s">
        <v>149</v>
      </c>
    </row>
    <row r="8" spans="1:64">
      <c r="C8" s="40" t="s">
        <v>150</v>
      </c>
      <c r="D8" s="42">
        <v>7586</v>
      </c>
      <c r="E8" s="42">
        <v>7676</v>
      </c>
      <c r="F8" s="42">
        <v>7719</v>
      </c>
      <c r="G8" s="41">
        <f t="shared" ref="G8:P8" si="5">F8*(1+S8)</f>
        <v>7762.2408806670137</v>
      </c>
      <c r="H8" s="41">
        <f t="shared" si="5"/>
        <v>7805.7239913846633</v>
      </c>
      <c r="I8" s="41">
        <f t="shared" si="5"/>
        <v>7849.45068909565</v>
      </c>
      <c r="J8" s="41">
        <f t="shared" si="5"/>
        <v>7893.4223383441004</v>
      </c>
      <c r="K8" s="41">
        <f t="shared" si="5"/>
        <v>7937.6403113181477</v>
      </c>
      <c r="L8" s="41">
        <f t="shared" si="5"/>
        <v>7982.1059878927535</v>
      </c>
      <c r="M8" s="41">
        <f t="shared" si="5"/>
        <v>8026.8207556727666</v>
      </c>
      <c r="N8" s="41">
        <f t="shared" si="5"/>
        <v>8071.7860100362268</v>
      </c>
      <c r="O8" s="41">
        <f t="shared" si="5"/>
        <v>8117.003154177909</v>
      </c>
      <c r="P8" s="41">
        <f t="shared" si="5"/>
        <v>8162.4735991531097</v>
      </c>
      <c r="R8" t="str">
        <f>C8</f>
        <v>Net sales</v>
      </c>
      <c r="S8" s="44">
        <f>IF(T2=1,AE8,IF(T2=2,AQ8,BC8))</f>
        <v>5.6018759770712911E-3</v>
      </c>
      <c r="T8" s="44">
        <f>IF(T2=1,AF8,IF(T2=2,AR8,BD8))</f>
        <v>5.6018759770712911E-3</v>
      </c>
      <c r="U8" s="44">
        <f>IF(T2=1,AG8,IF(T2=2,AS8,BE8))</f>
        <v>5.6018759770712911E-3</v>
      </c>
      <c r="V8" s="44">
        <f>IF(T2=1,AH8,IF(T2=2,AT8,BF8))</f>
        <v>5.6018759770712911E-3</v>
      </c>
      <c r="W8" s="44">
        <f>IF(T2=1,AI8,IF(T2=2,AU8,BG8))</f>
        <v>5.6018759770712911E-3</v>
      </c>
      <c r="X8" s="44">
        <f>IF(T2=1,AJ8,IF(T2=2,AV8,BH8))</f>
        <v>5.6018759770712911E-3</v>
      </c>
      <c r="Y8" s="44">
        <f>IF(T2=1,AK8,IF(T2=2,AW8,BI8))</f>
        <v>5.6018759770712911E-3</v>
      </c>
      <c r="Z8" s="44">
        <f>IF(T2=1,AL8,IF(T2=2,AX8,BJ8))</f>
        <v>5.6018759770712911E-3</v>
      </c>
      <c r="AA8" s="44">
        <f>IF(T2=1,AM8,IF(T2=2,AY8,BK8))</f>
        <v>5.6018759770712911E-3</v>
      </c>
      <c r="AB8" s="44">
        <f>IF(T2=1,AN8,IF(T2=2,AZ8,BL8))</f>
        <v>5.6018759770712911E-3</v>
      </c>
      <c r="AD8" t="str">
        <f>C8</f>
        <v>Net sales</v>
      </c>
      <c r="AE8" s="45">
        <f>MIN(F8/E8-1,0.03)</f>
        <v>5.6018759770712911E-3</v>
      </c>
      <c r="AF8" s="43">
        <f t="shared" ref="AF8:AN8" si="6">AE8</f>
        <v>5.6018759770712911E-3</v>
      </c>
      <c r="AG8" s="43">
        <f t="shared" si="6"/>
        <v>5.6018759770712911E-3</v>
      </c>
      <c r="AH8" s="43">
        <f t="shared" si="6"/>
        <v>5.6018759770712911E-3</v>
      </c>
      <c r="AI8" s="43">
        <f t="shared" si="6"/>
        <v>5.6018759770712911E-3</v>
      </c>
      <c r="AJ8" s="43">
        <f t="shared" si="6"/>
        <v>5.6018759770712911E-3</v>
      </c>
      <c r="AK8" s="43">
        <f t="shared" si="6"/>
        <v>5.6018759770712911E-3</v>
      </c>
      <c r="AL8" s="43">
        <f t="shared" si="6"/>
        <v>5.6018759770712911E-3</v>
      </c>
      <c r="AM8" s="43">
        <f t="shared" si="6"/>
        <v>5.6018759770712911E-3</v>
      </c>
      <c r="AN8" s="43">
        <f t="shared" si="6"/>
        <v>5.6018759770712911E-3</v>
      </c>
      <c r="AP8" t="str">
        <f>C8</f>
        <v>Net sales</v>
      </c>
      <c r="AQ8" s="45">
        <f>MIN(F8/E8-1,0.03)</f>
        <v>5.6018759770712911E-3</v>
      </c>
      <c r="AR8" s="43">
        <f t="shared" ref="AR8:AZ8" si="7">AQ8</f>
        <v>5.6018759770712911E-3</v>
      </c>
      <c r="AS8" s="43">
        <f t="shared" si="7"/>
        <v>5.6018759770712911E-3</v>
      </c>
      <c r="AT8" s="43">
        <f t="shared" si="7"/>
        <v>5.6018759770712911E-3</v>
      </c>
      <c r="AU8" s="43">
        <f t="shared" si="7"/>
        <v>5.6018759770712911E-3</v>
      </c>
      <c r="AV8" s="43">
        <f t="shared" si="7"/>
        <v>5.6018759770712911E-3</v>
      </c>
      <c r="AW8" s="43">
        <f t="shared" si="7"/>
        <v>5.6018759770712911E-3</v>
      </c>
      <c r="AX8" s="43">
        <f t="shared" si="7"/>
        <v>5.6018759770712911E-3</v>
      </c>
      <c r="AY8" s="43">
        <f t="shared" si="7"/>
        <v>5.6018759770712911E-3</v>
      </c>
      <c r="AZ8" s="43">
        <f t="shared" si="7"/>
        <v>5.6018759770712911E-3</v>
      </c>
      <c r="BB8" t="str">
        <f>C8</f>
        <v>Net sales</v>
      </c>
      <c r="BC8" s="45">
        <f>MIN(F8/E8-1,0.03)</f>
        <v>5.6018759770712911E-3</v>
      </c>
      <c r="BD8" s="43">
        <f t="shared" ref="BD8:BL8" si="8">BC8</f>
        <v>5.6018759770712911E-3</v>
      </c>
      <c r="BE8" s="43">
        <f t="shared" si="8"/>
        <v>5.6018759770712911E-3</v>
      </c>
      <c r="BF8" s="43">
        <f t="shared" si="8"/>
        <v>5.6018759770712911E-3</v>
      </c>
      <c r="BG8" s="43">
        <f t="shared" si="8"/>
        <v>5.6018759770712911E-3</v>
      </c>
      <c r="BH8" s="43">
        <f t="shared" si="8"/>
        <v>5.6018759770712911E-3</v>
      </c>
      <c r="BI8" s="43">
        <f t="shared" si="8"/>
        <v>5.6018759770712911E-3</v>
      </c>
      <c r="BJ8" s="43">
        <f t="shared" si="8"/>
        <v>5.6018759770712911E-3</v>
      </c>
      <c r="BK8" s="43">
        <f t="shared" si="8"/>
        <v>5.6018759770712911E-3</v>
      </c>
      <c r="BL8" s="43">
        <f t="shared" si="8"/>
        <v>5.6018759770712911E-3</v>
      </c>
    </row>
    <row r="9" spans="1:64">
      <c r="C9" t="s">
        <v>151</v>
      </c>
      <c r="D9" s="46">
        <f t="shared" ref="D9:P9" si="9">D8</f>
        <v>7586</v>
      </c>
      <c r="E9" s="46">
        <f t="shared" si="9"/>
        <v>7676</v>
      </c>
      <c r="F9" s="46">
        <f t="shared" si="9"/>
        <v>7719</v>
      </c>
      <c r="G9" s="46">
        <f t="shared" si="9"/>
        <v>7762.2408806670137</v>
      </c>
      <c r="H9" s="46">
        <f t="shared" si="9"/>
        <v>7805.7239913846633</v>
      </c>
      <c r="I9" s="46">
        <f t="shared" si="9"/>
        <v>7849.45068909565</v>
      </c>
      <c r="J9" s="46">
        <f t="shared" si="9"/>
        <v>7893.4223383441004</v>
      </c>
      <c r="K9" s="46">
        <f t="shared" si="9"/>
        <v>7937.6403113181477</v>
      </c>
      <c r="L9" s="46">
        <f t="shared" si="9"/>
        <v>7982.1059878927535</v>
      </c>
      <c r="M9" s="46">
        <f t="shared" si="9"/>
        <v>8026.8207556727666</v>
      </c>
      <c r="N9" s="46">
        <f t="shared" si="9"/>
        <v>8071.7860100362268</v>
      </c>
      <c r="O9" s="46">
        <f t="shared" si="9"/>
        <v>8117.003154177909</v>
      </c>
      <c r="P9" s="46">
        <f t="shared" si="9"/>
        <v>8162.4735991531097</v>
      </c>
    </row>
    <row r="10" spans="1:64">
      <c r="C10" s="47" t="s">
        <v>152</v>
      </c>
      <c r="E10" s="48">
        <f t="shared" ref="E10:P10" si="10">E9/D9-1</f>
        <v>1.1863959926179835E-2</v>
      </c>
      <c r="F10" s="48">
        <f t="shared" si="10"/>
        <v>5.6018759770712911E-3</v>
      </c>
      <c r="G10" s="48">
        <f t="shared" si="10"/>
        <v>5.6018759770712911E-3</v>
      </c>
      <c r="H10" s="48">
        <f t="shared" si="10"/>
        <v>5.6018759770712911E-3</v>
      </c>
      <c r="I10" s="48">
        <f t="shared" si="10"/>
        <v>5.6018759770712911E-3</v>
      </c>
      <c r="J10" s="48">
        <f t="shared" si="10"/>
        <v>5.6018759770712911E-3</v>
      </c>
      <c r="K10" s="48">
        <f t="shared" si="10"/>
        <v>5.6018759770712911E-3</v>
      </c>
      <c r="L10" s="48">
        <f t="shared" si="10"/>
        <v>5.6018759770712911E-3</v>
      </c>
      <c r="M10" s="48">
        <f t="shared" si="10"/>
        <v>5.6018759770712911E-3</v>
      </c>
      <c r="N10" s="48">
        <f t="shared" si="10"/>
        <v>5.6018759770712911E-3</v>
      </c>
      <c r="O10" s="48">
        <f t="shared" si="10"/>
        <v>5.6018759770712911E-3</v>
      </c>
      <c r="P10" s="48">
        <f t="shared" si="10"/>
        <v>5.6018759770712911E-3</v>
      </c>
    </row>
    <row r="12" spans="1:64">
      <c r="C12" t="s">
        <v>153</v>
      </c>
    </row>
    <row r="13" spans="1:64">
      <c r="C13" s="40" t="s">
        <v>154</v>
      </c>
      <c r="D13" s="42">
        <v>4558</v>
      </c>
      <c r="E13" s="42">
        <v>4526</v>
      </c>
      <c r="F13" s="42">
        <v>4616</v>
      </c>
      <c r="G13" s="41">
        <f>G9*S13</f>
        <v>4641.8582595101607</v>
      </c>
      <c r="H13" s="41">
        <f t="shared" ref="H13:P13" si="11">T13*H9</f>
        <v>4667.861373783081</v>
      </c>
      <c r="I13" s="41">
        <f t="shared" si="11"/>
        <v>4694.0101542771754</v>
      </c>
      <c r="J13" s="41">
        <f t="shared" si="11"/>
        <v>4720.305416996549</v>
      </c>
      <c r="K13" s="41">
        <f t="shared" si="11"/>
        <v>4746.7479825164619</v>
      </c>
      <c r="L13" s="41">
        <f t="shared" si="11"/>
        <v>4773.3386760089325</v>
      </c>
      <c r="M13" s="41">
        <f t="shared" si="11"/>
        <v>4800.0783272684921</v>
      </c>
      <c r="N13" s="41">
        <f t="shared" si="11"/>
        <v>4826.9677707380779</v>
      </c>
      <c r="O13" s="41">
        <f t="shared" si="11"/>
        <v>4854.0078455350722</v>
      </c>
      <c r="P13" s="41">
        <f t="shared" si="11"/>
        <v>4881.1993954774907</v>
      </c>
      <c r="R13" t="s">
        <v>154</v>
      </c>
      <c r="S13" s="44">
        <f>IF(T2=1,AE13,IF(T2=2,AQ13,BC13))</f>
        <v>0.59800492291747631</v>
      </c>
      <c r="T13" s="44">
        <f>IF(T2=1,AF13,IF(T2=2,AR13,BD13))</f>
        <v>0.59800492291747631</v>
      </c>
      <c r="U13" s="44">
        <f>IF(T2=1,AG13,IF(T2=2,AS13,BE13))</f>
        <v>0.59800492291747631</v>
      </c>
      <c r="V13" s="44">
        <f>IF(T2=1,AH13,IF(T2=2,AT13,BF13))</f>
        <v>0.59800492291747631</v>
      </c>
      <c r="W13" s="44">
        <f>IF(T2=1,AI13,IF(T2=2,AU13,BG13))</f>
        <v>0.59800492291747631</v>
      </c>
      <c r="X13" s="44">
        <f>IF(T2=1,AJ13,IF(T2=2,AV13,BH13))</f>
        <v>0.59800492291747631</v>
      </c>
      <c r="Y13" s="44">
        <f>IF(T2=1,AK13,IF(T2=2,AW13,BI13))</f>
        <v>0.59800492291747631</v>
      </c>
      <c r="Z13" s="44">
        <f>IF(T2=1,AL13,IF(T2=2,AX13,BJ13))</f>
        <v>0.59800492291747631</v>
      </c>
      <c r="AA13" s="44">
        <f>IF(T2=1,AM13,IF(T2=2,AY13,BK13))</f>
        <v>0.59800492291747631</v>
      </c>
      <c r="AB13" s="44">
        <f>IF(T2=1,AN13,IF(T2=2,AZ13,BL13))</f>
        <v>0.59800492291747631</v>
      </c>
      <c r="AD13" t="str">
        <f t="shared" ref="AD13:AD18" si="12">C13</f>
        <v>Cost of products sold</v>
      </c>
      <c r="AE13" s="45">
        <f>F13/F9</f>
        <v>0.59800492291747631</v>
      </c>
      <c r="AF13" s="43">
        <f t="shared" ref="AF13:AN13" si="13">AE13</f>
        <v>0.59800492291747631</v>
      </c>
      <c r="AG13" s="43">
        <f t="shared" si="13"/>
        <v>0.59800492291747631</v>
      </c>
      <c r="AH13" s="43">
        <f t="shared" si="13"/>
        <v>0.59800492291747631</v>
      </c>
      <c r="AI13" s="43">
        <f t="shared" si="13"/>
        <v>0.59800492291747631</v>
      </c>
      <c r="AJ13" s="43">
        <f t="shared" si="13"/>
        <v>0.59800492291747631</v>
      </c>
      <c r="AK13" s="43">
        <f t="shared" si="13"/>
        <v>0.59800492291747631</v>
      </c>
      <c r="AL13" s="43">
        <f t="shared" si="13"/>
        <v>0.59800492291747631</v>
      </c>
      <c r="AM13" s="43">
        <f t="shared" si="13"/>
        <v>0.59800492291747631</v>
      </c>
      <c r="AN13" s="43">
        <f t="shared" si="13"/>
        <v>0.59800492291747631</v>
      </c>
      <c r="AP13" t="str">
        <f t="shared" ref="AP13:AP18" si="14">C13</f>
        <v>Cost of products sold</v>
      </c>
      <c r="AQ13" s="45">
        <f>F13/F9</f>
        <v>0.59800492291747631</v>
      </c>
      <c r="AR13" s="43">
        <f t="shared" ref="AR13:AZ13" si="15">AQ13</f>
        <v>0.59800492291747631</v>
      </c>
      <c r="AS13" s="43">
        <f t="shared" si="15"/>
        <v>0.59800492291747631</v>
      </c>
      <c r="AT13" s="43">
        <f t="shared" si="15"/>
        <v>0.59800492291747631</v>
      </c>
      <c r="AU13" s="43">
        <f t="shared" si="15"/>
        <v>0.59800492291747631</v>
      </c>
      <c r="AV13" s="43">
        <f t="shared" si="15"/>
        <v>0.59800492291747631</v>
      </c>
      <c r="AW13" s="43">
        <f t="shared" si="15"/>
        <v>0.59800492291747631</v>
      </c>
      <c r="AX13" s="43">
        <f t="shared" si="15"/>
        <v>0.59800492291747631</v>
      </c>
      <c r="AY13" s="43">
        <f t="shared" si="15"/>
        <v>0.59800492291747631</v>
      </c>
      <c r="AZ13" s="43">
        <f t="shared" si="15"/>
        <v>0.59800492291747631</v>
      </c>
      <c r="BB13" t="str">
        <f t="shared" ref="BB13:BB18" si="16">C13</f>
        <v>Cost of products sold</v>
      </c>
      <c r="BC13" s="45">
        <f>F13/F9</f>
        <v>0.59800492291747631</v>
      </c>
      <c r="BD13" s="43">
        <f t="shared" ref="BD13:BL13" si="17">BC13</f>
        <v>0.59800492291747631</v>
      </c>
      <c r="BE13" s="43">
        <f t="shared" si="17"/>
        <v>0.59800492291747631</v>
      </c>
      <c r="BF13" s="43">
        <f t="shared" si="17"/>
        <v>0.59800492291747631</v>
      </c>
      <c r="BG13" s="43">
        <f t="shared" si="17"/>
        <v>0.59800492291747631</v>
      </c>
      <c r="BH13" s="43">
        <f t="shared" si="17"/>
        <v>0.59800492291747631</v>
      </c>
      <c r="BI13" s="43">
        <f t="shared" si="17"/>
        <v>0.59800492291747631</v>
      </c>
      <c r="BJ13" s="43">
        <f t="shared" si="17"/>
        <v>0.59800492291747631</v>
      </c>
      <c r="BK13" s="43">
        <f t="shared" si="17"/>
        <v>0.59800492291747631</v>
      </c>
      <c r="BL13" s="43">
        <f t="shared" si="17"/>
        <v>0.59800492291747631</v>
      </c>
    </row>
    <row r="14" spans="1:64">
      <c r="C14" s="40" t="s">
        <v>155</v>
      </c>
      <c r="D14" s="50">
        <v>1077</v>
      </c>
      <c r="E14" s="50">
        <v>1058</v>
      </c>
      <c r="F14" s="50">
        <v>1007</v>
      </c>
      <c r="G14" s="49">
        <f>G9*S14</f>
        <v>1012.6410891089109</v>
      </c>
      <c r="H14" s="49">
        <f t="shared" ref="H14:P14" si="18">T14*H9</f>
        <v>1018.3137788993854</v>
      </c>
      <c r="I14" s="49">
        <f t="shared" si="18"/>
        <v>1024.0182463945225</v>
      </c>
      <c r="J14" s="49">
        <f t="shared" si="18"/>
        <v>1029.7546696090826</v>
      </c>
      <c r="K14" s="49">
        <f t="shared" si="18"/>
        <v>1035.5232275550427</v>
      </c>
      <c r="L14" s="49">
        <f t="shared" si="18"/>
        <v>1041.3241002471827</v>
      </c>
      <c r="M14" s="49">
        <f t="shared" si="18"/>
        <v>1047.1574687087027</v>
      </c>
      <c r="N14" s="49">
        <f t="shared" si="18"/>
        <v>1053.0235149768728</v>
      </c>
      <c r="O14" s="49">
        <f t="shared" si="18"/>
        <v>1058.9224221087129</v>
      </c>
      <c r="P14" s="49">
        <f t="shared" si="18"/>
        <v>1064.8543741867059</v>
      </c>
      <c r="R14" t="s">
        <v>155</v>
      </c>
      <c r="S14" s="44">
        <f>IF(T2=1,AE14,IF(T2=2,AQ14,BC14))</f>
        <v>0.13045731312346159</v>
      </c>
      <c r="T14" s="44">
        <f>IF(T2=1,AF14,IF(T2=2,AR14,BD14))</f>
        <v>0.13045731312346159</v>
      </c>
      <c r="U14" s="44">
        <f>IF(T2=1,AG14,IF(T2=2,AS14,BE14))</f>
        <v>0.13045731312346159</v>
      </c>
      <c r="V14" s="44">
        <f>IF(T2=1,AH14,IF(T2=2,AT14,BF14))</f>
        <v>0.13045731312346159</v>
      </c>
      <c r="W14" s="44">
        <f>IF(T2=1,AI14,IF(T2=2,AU14,BG14))</f>
        <v>0.13045731312346159</v>
      </c>
      <c r="X14" s="44">
        <f>IF(T2=1,AJ14,IF(T2=2,AV14,BH14))</f>
        <v>0.13045731312346159</v>
      </c>
      <c r="Y14" s="44">
        <f>IF(T2=1,AK14,IF(T2=2,AW14,BI14))</f>
        <v>0.13045731312346159</v>
      </c>
      <c r="Z14" s="44">
        <f>IF(T2=1,AL14,IF(T2=2,AX14,BJ14))</f>
        <v>0.13045731312346159</v>
      </c>
      <c r="AA14" s="44">
        <f>IF(T2=1,AM14,IF(T2=2,AY14,BK14))</f>
        <v>0.13045731312346159</v>
      </c>
      <c r="AB14" s="44">
        <f>IF(T2=1,AN14,IF(T2=2,AZ14,BL14))</f>
        <v>0.13045731312346159</v>
      </c>
      <c r="AD14" t="str">
        <f t="shared" si="12"/>
        <v>Marketing and selling expenses</v>
      </c>
      <c r="AE14" s="45">
        <f>F14/F9</f>
        <v>0.13045731312346159</v>
      </c>
      <c r="AF14" s="43">
        <f t="shared" ref="AF14:AN14" si="19">AE14</f>
        <v>0.13045731312346159</v>
      </c>
      <c r="AG14" s="43">
        <f t="shared" si="19"/>
        <v>0.13045731312346159</v>
      </c>
      <c r="AH14" s="43">
        <f t="shared" si="19"/>
        <v>0.13045731312346159</v>
      </c>
      <c r="AI14" s="43">
        <f t="shared" si="19"/>
        <v>0.13045731312346159</v>
      </c>
      <c r="AJ14" s="43">
        <f t="shared" si="19"/>
        <v>0.13045731312346159</v>
      </c>
      <c r="AK14" s="43">
        <f t="shared" si="19"/>
        <v>0.13045731312346159</v>
      </c>
      <c r="AL14" s="43">
        <f t="shared" si="19"/>
        <v>0.13045731312346159</v>
      </c>
      <c r="AM14" s="43">
        <f t="shared" si="19"/>
        <v>0.13045731312346159</v>
      </c>
      <c r="AN14" s="43">
        <f t="shared" si="19"/>
        <v>0.13045731312346159</v>
      </c>
      <c r="AP14" t="str">
        <f t="shared" si="14"/>
        <v>Marketing and selling expenses</v>
      </c>
      <c r="AQ14" s="45">
        <f>F14/F9</f>
        <v>0.13045731312346159</v>
      </c>
      <c r="AR14" s="43">
        <f t="shared" ref="AR14:AZ14" si="20">AQ14</f>
        <v>0.13045731312346159</v>
      </c>
      <c r="AS14" s="43">
        <f t="shared" si="20"/>
        <v>0.13045731312346159</v>
      </c>
      <c r="AT14" s="43">
        <f t="shared" si="20"/>
        <v>0.13045731312346159</v>
      </c>
      <c r="AU14" s="43">
        <f t="shared" si="20"/>
        <v>0.13045731312346159</v>
      </c>
      <c r="AV14" s="43">
        <f t="shared" si="20"/>
        <v>0.13045731312346159</v>
      </c>
      <c r="AW14" s="43">
        <f t="shared" si="20"/>
        <v>0.13045731312346159</v>
      </c>
      <c r="AX14" s="43">
        <f t="shared" si="20"/>
        <v>0.13045731312346159</v>
      </c>
      <c r="AY14" s="43">
        <f t="shared" si="20"/>
        <v>0.13045731312346159</v>
      </c>
      <c r="AZ14" s="43">
        <f t="shared" si="20"/>
        <v>0.13045731312346159</v>
      </c>
      <c r="BB14" t="str">
        <f t="shared" si="16"/>
        <v>Marketing and selling expenses</v>
      </c>
      <c r="BC14" s="45">
        <f>F14/F9</f>
        <v>0.13045731312346159</v>
      </c>
      <c r="BD14" s="43">
        <f t="shared" ref="BD14:BL14" si="21">BC14</f>
        <v>0.13045731312346159</v>
      </c>
      <c r="BE14" s="43">
        <f t="shared" si="21"/>
        <v>0.13045731312346159</v>
      </c>
      <c r="BF14" s="43">
        <f t="shared" si="21"/>
        <v>0.13045731312346159</v>
      </c>
      <c r="BG14" s="43">
        <f t="shared" si="21"/>
        <v>0.13045731312346159</v>
      </c>
      <c r="BH14" s="43">
        <f t="shared" si="21"/>
        <v>0.13045731312346159</v>
      </c>
      <c r="BI14" s="43">
        <f t="shared" si="21"/>
        <v>0.13045731312346159</v>
      </c>
      <c r="BJ14" s="43">
        <f t="shared" si="21"/>
        <v>0.13045731312346159</v>
      </c>
      <c r="BK14" s="43">
        <f t="shared" si="21"/>
        <v>0.13045731312346159</v>
      </c>
      <c r="BL14" s="43">
        <f t="shared" si="21"/>
        <v>0.13045731312346159</v>
      </c>
    </row>
    <row r="15" spans="1:64">
      <c r="C15" s="40" t="s">
        <v>156</v>
      </c>
      <c r="D15" s="50">
        <v>591</v>
      </c>
      <c r="E15" s="50">
        <v>605</v>
      </c>
      <c r="F15" s="50">
        <v>612</v>
      </c>
      <c r="G15" s="49">
        <f>G9*S15</f>
        <v>615.42834809796761</v>
      </c>
      <c r="H15" s="49">
        <f t="shared" ref="H15:P15" si="22">T15*H9</f>
        <v>618.87590137678637</v>
      </c>
      <c r="I15" s="49">
        <f t="shared" si="22"/>
        <v>622.34276742149734</v>
      </c>
      <c r="J15" s="49">
        <f t="shared" si="22"/>
        <v>625.82905441981984</v>
      </c>
      <c r="K15" s="49">
        <f t="shared" si="22"/>
        <v>629.33487116552737</v>
      </c>
      <c r="L15" s="49">
        <f t="shared" si="22"/>
        <v>632.8603270618429</v>
      </c>
      <c r="M15" s="49">
        <f t="shared" si="22"/>
        <v>636.40553212485202</v>
      </c>
      <c r="N15" s="49">
        <f t="shared" si="22"/>
        <v>639.97059698693749</v>
      </c>
      <c r="O15" s="49">
        <f t="shared" si="22"/>
        <v>643.55563290023065</v>
      </c>
      <c r="P15" s="49">
        <f t="shared" si="22"/>
        <v>647.16075174008324</v>
      </c>
      <c r="R15" t="s">
        <v>156</v>
      </c>
      <c r="S15" s="44">
        <f>IF(T2=1,AE15,IF(T2=2,AQ15,BC15))</f>
        <v>7.9284881461329185E-2</v>
      </c>
      <c r="T15" s="44">
        <f>IF(T2=1,AF15,IF(T2=2,AR15,BD15))</f>
        <v>7.9284881461329185E-2</v>
      </c>
      <c r="U15" s="44">
        <f>IF(T2=1,AG15,IF(T2=2,AS15,BE15))</f>
        <v>7.9284881461329185E-2</v>
      </c>
      <c r="V15" s="44">
        <f>IF(T2=1,AH15,IF(T2=2,AT15,BF15))</f>
        <v>7.9284881461329185E-2</v>
      </c>
      <c r="W15" s="44">
        <f>IF(T2=1,AI15,IF(T2=2,AU15,BG15))</f>
        <v>7.9284881461329185E-2</v>
      </c>
      <c r="X15" s="44">
        <f>IF(T2=1,AJ15,IF(T2=2,AV15,BH15))</f>
        <v>7.9284881461329185E-2</v>
      </c>
      <c r="Y15" s="44">
        <f>IF(T2=1,AK15,IF(T2=2,AW15,BI15))</f>
        <v>7.9284881461329185E-2</v>
      </c>
      <c r="Z15" s="44">
        <f>IF(T2=1,AL15,IF(T2=2,AX15,BJ15))</f>
        <v>7.9284881461329185E-2</v>
      </c>
      <c r="AA15" s="44">
        <f>IF(T2=1,AM15,IF(T2=2,AY15,BK15))</f>
        <v>7.9284881461329185E-2</v>
      </c>
      <c r="AB15" s="44">
        <f>IF(T2=1,AN15,IF(T2=2,AZ15,BL15))</f>
        <v>7.9284881461329185E-2</v>
      </c>
      <c r="AD15" t="str">
        <f t="shared" si="12"/>
        <v>Administrative expenses</v>
      </c>
      <c r="AE15" s="45">
        <f>F15/F9</f>
        <v>7.9284881461329185E-2</v>
      </c>
      <c r="AF15" s="43">
        <f t="shared" ref="AF15:AN15" si="23">AE15</f>
        <v>7.9284881461329185E-2</v>
      </c>
      <c r="AG15" s="43">
        <f t="shared" si="23"/>
        <v>7.9284881461329185E-2</v>
      </c>
      <c r="AH15" s="43">
        <f t="shared" si="23"/>
        <v>7.9284881461329185E-2</v>
      </c>
      <c r="AI15" s="43">
        <f t="shared" si="23"/>
        <v>7.9284881461329185E-2</v>
      </c>
      <c r="AJ15" s="43">
        <f t="shared" si="23"/>
        <v>7.9284881461329185E-2</v>
      </c>
      <c r="AK15" s="43">
        <f t="shared" si="23"/>
        <v>7.9284881461329185E-2</v>
      </c>
      <c r="AL15" s="43">
        <f t="shared" si="23"/>
        <v>7.9284881461329185E-2</v>
      </c>
      <c r="AM15" s="43">
        <f t="shared" si="23"/>
        <v>7.9284881461329185E-2</v>
      </c>
      <c r="AN15" s="43">
        <f t="shared" si="23"/>
        <v>7.9284881461329185E-2</v>
      </c>
      <c r="AP15" t="str">
        <f t="shared" si="14"/>
        <v>Administrative expenses</v>
      </c>
      <c r="AQ15" s="45">
        <f>F15/F9</f>
        <v>7.9284881461329185E-2</v>
      </c>
      <c r="AR15" s="43">
        <f t="shared" ref="AR15:AZ15" si="24">AQ15</f>
        <v>7.9284881461329185E-2</v>
      </c>
      <c r="AS15" s="43">
        <f t="shared" si="24"/>
        <v>7.9284881461329185E-2</v>
      </c>
      <c r="AT15" s="43">
        <f t="shared" si="24"/>
        <v>7.9284881461329185E-2</v>
      </c>
      <c r="AU15" s="43">
        <f t="shared" si="24"/>
        <v>7.9284881461329185E-2</v>
      </c>
      <c r="AV15" s="43">
        <f t="shared" si="24"/>
        <v>7.9284881461329185E-2</v>
      </c>
      <c r="AW15" s="43">
        <f t="shared" si="24"/>
        <v>7.9284881461329185E-2</v>
      </c>
      <c r="AX15" s="43">
        <f t="shared" si="24"/>
        <v>7.9284881461329185E-2</v>
      </c>
      <c r="AY15" s="43">
        <f t="shared" si="24"/>
        <v>7.9284881461329185E-2</v>
      </c>
      <c r="AZ15" s="43">
        <f t="shared" si="24"/>
        <v>7.9284881461329185E-2</v>
      </c>
      <c r="BB15" t="str">
        <f t="shared" si="16"/>
        <v>Administrative expenses</v>
      </c>
      <c r="BC15" s="45">
        <f>F15/F9</f>
        <v>7.9284881461329185E-2</v>
      </c>
      <c r="BD15" s="43">
        <f t="shared" ref="BD15:BL15" si="25">BC15</f>
        <v>7.9284881461329185E-2</v>
      </c>
      <c r="BE15" s="43">
        <f t="shared" si="25"/>
        <v>7.9284881461329185E-2</v>
      </c>
      <c r="BF15" s="43">
        <f t="shared" si="25"/>
        <v>7.9284881461329185E-2</v>
      </c>
      <c r="BG15" s="43">
        <f t="shared" si="25"/>
        <v>7.9284881461329185E-2</v>
      </c>
      <c r="BH15" s="43">
        <f t="shared" si="25"/>
        <v>7.9284881461329185E-2</v>
      </c>
      <c r="BI15" s="43">
        <f t="shared" si="25"/>
        <v>7.9284881461329185E-2</v>
      </c>
      <c r="BJ15" s="43">
        <f t="shared" si="25"/>
        <v>7.9284881461329185E-2</v>
      </c>
      <c r="BK15" s="43">
        <f t="shared" si="25"/>
        <v>7.9284881461329185E-2</v>
      </c>
      <c r="BL15" s="43">
        <f t="shared" si="25"/>
        <v>7.9284881461329185E-2</v>
      </c>
    </row>
    <row r="16" spans="1:64">
      <c r="C16" s="40" t="s">
        <v>157</v>
      </c>
      <c r="D16" s="50">
        <v>114</v>
      </c>
      <c r="E16" s="50">
        <v>123</v>
      </c>
      <c r="F16" s="50">
        <v>129</v>
      </c>
      <c r="G16" s="49">
        <f>G9*S16</f>
        <v>129.7226420010422</v>
      </c>
      <c r="H16" s="49">
        <f t="shared" ref="H16:P16" si="26">T16*H9</f>
        <v>130.44933215295006</v>
      </c>
      <c r="I16" s="49">
        <f t="shared" si="26"/>
        <v>131.18009313296267</v>
      </c>
      <c r="J16" s="49">
        <f t="shared" si="26"/>
        <v>131.91494774535417</v>
      </c>
      <c r="K16" s="49">
        <f t="shared" si="26"/>
        <v>132.65391892214549</v>
      </c>
      <c r="L16" s="49">
        <f t="shared" si="26"/>
        <v>133.3970297238198</v>
      </c>
      <c r="M16" s="49">
        <f t="shared" si="26"/>
        <v>134.14430334004234</v>
      </c>
      <c r="N16" s="49">
        <f t="shared" si="26"/>
        <v>134.89576309038387</v>
      </c>
      <c r="O16" s="49">
        <f t="shared" si="26"/>
        <v>135.6514324250486</v>
      </c>
      <c r="P16" s="49">
        <f t="shared" si="26"/>
        <v>136.41133492560579</v>
      </c>
      <c r="R16" t="s">
        <v>157</v>
      </c>
      <c r="S16" s="44">
        <f>IF(T2=1,AE16,IF(T2=2,AQ16,BC16))</f>
        <v>1.6712009327633112E-2</v>
      </c>
      <c r="T16" s="44">
        <f>IF(T2=1,AF16,IF(T2=2,AR16,BD16))</f>
        <v>1.6712009327633112E-2</v>
      </c>
      <c r="U16" s="44">
        <f>IF(T2=1,AG16,IF(T2=2,AS16,BE16))</f>
        <v>1.6712009327633112E-2</v>
      </c>
      <c r="V16" s="44">
        <f>IF(T2=1,AH16,IF(T2=2,AT16,BF16))</f>
        <v>1.6712009327633112E-2</v>
      </c>
      <c r="W16" s="44">
        <f>IF(T2=1,AI16,IF(T2=2,AU16,BG16))</f>
        <v>1.6712009327633112E-2</v>
      </c>
      <c r="X16" s="44">
        <f>IF(T2=1,AJ16,IF(T2=2,AV16,BH16))</f>
        <v>1.6712009327633112E-2</v>
      </c>
      <c r="Y16" s="44">
        <f>IF(T2=1,AK16,IF(T2=2,AW16,BI16))</f>
        <v>1.6712009327633112E-2</v>
      </c>
      <c r="Z16" s="44">
        <f>IF(T2=1,AL16,IF(T2=2,AX16,BJ16))</f>
        <v>1.6712009327633112E-2</v>
      </c>
      <c r="AA16" s="44">
        <f>IF(T2=1,AM16,IF(T2=2,AY16,BK16))</f>
        <v>1.6712009327633112E-2</v>
      </c>
      <c r="AB16" s="44">
        <f>IF(T2=1,AN16,IF(T2=2,AZ16,BL16))</f>
        <v>1.6712009327633112E-2</v>
      </c>
      <c r="AD16" t="str">
        <f t="shared" si="12"/>
        <v>Research and development expenses</v>
      </c>
      <c r="AE16" s="45">
        <f>F16/F9</f>
        <v>1.6712009327633112E-2</v>
      </c>
      <c r="AF16" s="43">
        <f t="shared" ref="AF16:AN16" si="27">AE16</f>
        <v>1.6712009327633112E-2</v>
      </c>
      <c r="AG16" s="43">
        <f t="shared" si="27"/>
        <v>1.6712009327633112E-2</v>
      </c>
      <c r="AH16" s="43">
        <f t="shared" si="27"/>
        <v>1.6712009327633112E-2</v>
      </c>
      <c r="AI16" s="43">
        <f t="shared" si="27"/>
        <v>1.6712009327633112E-2</v>
      </c>
      <c r="AJ16" s="43">
        <f t="shared" si="27"/>
        <v>1.6712009327633112E-2</v>
      </c>
      <c r="AK16" s="43">
        <f t="shared" si="27"/>
        <v>1.6712009327633112E-2</v>
      </c>
      <c r="AL16" s="43">
        <f t="shared" si="27"/>
        <v>1.6712009327633112E-2</v>
      </c>
      <c r="AM16" s="43">
        <f t="shared" si="27"/>
        <v>1.6712009327633112E-2</v>
      </c>
      <c r="AN16" s="43">
        <f t="shared" si="27"/>
        <v>1.6712009327633112E-2</v>
      </c>
      <c r="AP16" t="str">
        <f t="shared" si="14"/>
        <v>Research and development expenses</v>
      </c>
      <c r="AQ16" s="45">
        <f>F16/F9</f>
        <v>1.6712009327633112E-2</v>
      </c>
      <c r="AR16" s="43">
        <f t="shared" ref="AR16:AZ16" si="28">AQ16</f>
        <v>1.6712009327633112E-2</v>
      </c>
      <c r="AS16" s="43">
        <f t="shared" si="28"/>
        <v>1.6712009327633112E-2</v>
      </c>
      <c r="AT16" s="43">
        <f t="shared" si="28"/>
        <v>1.6712009327633112E-2</v>
      </c>
      <c r="AU16" s="43">
        <f t="shared" si="28"/>
        <v>1.6712009327633112E-2</v>
      </c>
      <c r="AV16" s="43">
        <f t="shared" si="28"/>
        <v>1.6712009327633112E-2</v>
      </c>
      <c r="AW16" s="43">
        <f t="shared" si="28"/>
        <v>1.6712009327633112E-2</v>
      </c>
      <c r="AX16" s="43">
        <f t="shared" si="28"/>
        <v>1.6712009327633112E-2</v>
      </c>
      <c r="AY16" s="43">
        <f t="shared" si="28"/>
        <v>1.6712009327633112E-2</v>
      </c>
      <c r="AZ16" s="43">
        <f t="shared" si="28"/>
        <v>1.6712009327633112E-2</v>
      </c>
      <c r="BB16" t="str">
        <f t="shared" si="16"/>
        <v>Research and development expenses</v>
      </c>
      <c r="BC16" s="45">
        <f>F16/F9</f>
        <v>1.6712009327633112E-2</v>
      </c>
      <c r="BD16" s="43">
        <f t="shared" ref="BD16:BL16" si="29">BC16</f>
        <v>1.6712009327633112E-2</v>
      </c>
      <c r="BE16" s="43">
        <f t="shared" si="29"/>
        <v>1.6712009327633112E-2</v>
      </c>
      <c r="BF16" s="43">
        <f t="shared" si="29"/>
        <v>1.6712009327633112E-2</v>
      </c>
      <c r="BG16" s="43">
        <f t="shared" si="29"/>
        <v>1.6712009327633112E-2</v>
      </c>
      <c r="BH16" s="43">
        <f t="shared" si="29"/>
        <v>1.6712009327633112E-2</v>
      </c>
      <c r="BI16" s="43">
        <f t="shared" si="29"/>
        <v>1.6712009327633112E-2</v>
      </c>
      <c r="BJ16" s="43">
        <f t="shared" si="29"/>
        <v>1.6712009327633112E-2</v>
      </c>
      <c r="BK16" s="43">
        <f t="shared" si="29"/>
        <v>1.6712009327633112E-2</v>
      </c>
      <c r="BL16" s="43">
        <f t="shared" si="29"/>
        <v>1.6712009327633112E-2</v>
      </c>
    </row>
    <row r="17" spans="3:64">
      <c r="C17" s="40" t="s">
        <v>158</v>
      </c>
      <c r="D17" s="50">
        <v>61</v>
      </c>
      <c r="E17" s="50">
        <v>4</v>
      </c>
      <c r="F17" s="50">
        <v>13</v>
      </c>
      <c r="G17" s="49">
        <f>G9*S17</f>
        <v>13.072824387701928</v>
      </c>
      <c r="H17" s="49">
        <f t="shared" ref="H17:P17" si="30">T17*H9</f>
        <v>13.146056728591867</v>
      </c>
      <c r="I17" s="49">
        <f t="shared" si="30"/>
        <v>13.219699307972983</v>
      </c>
      <c r="J17" s="49">
        <f t="shared" si="30"/>
        <v>13.293754423950423</v>
      </c>
      <c r="K17" s="49">
        <f t="shared" si="30"/>
        <v>13.368224387503036</v>
      </c>
      <c r="L17" s="49">
        <f t="shared" si="30"/>
        <v>13.443111522555487</v>
      </c>
      <c r="M17" s="49">
        <f t="shared" si="30"/>
        <v>13.518418166050781</v>
      </c>
      <c r="N17" s="49">
        <f t="shared" si="30"/>
        <v>13.594146668023184</v>
      </c>
      <c r="O17" s="49">
        <f t="shared" si="30"/>
        <v>13.670299391671566</v>
      </c>
      <c r="P17" s="49">
        <f t="shared" si="30"/>
        <v>13.746878713433142</v>
      </c>
      <c r="R17" t="s">
        <v>158</v>
      </c>
      <c r="S17" s="44">
        <f>IF(T2=1,AE17,IF(T2=2,AQ17,BC17))</f>
        <v>1.6841559787537247E-3</v>
      </c>
      <c r="T17" s="44">
        <f>IF(T2=1,AF17,IF(T2=2,AR17,BD17))</f>
        <v>1.6841559787537247E-3</v>
      </c>
      <c r="U17" s="44">
        <f>IF(T2=1,AG17,IF(T2=2,AS17,BE17))</f>
        <v>1.6841559787537247E-3</v>
      </c>
      <c r="V17" s="44">
        <f>IF(T2=1,AH17,IF(T2=2,AT17,BF17))</f>
        <v>1.6841559787537247E-3</v>
      </c>
      <c r="W17" s="44">
        <f>IF(T2=1,AI17,IF(T2=2,AU17,BG17))</f>
        <v>1.6841559787537247E-3</v>
      </c>
      <c r="X17" s="44">
        <f>IF(T2=1,AJ17,IF(T2=2,AV17,BH17))</f>
        <v>1.6841559787537247E-3</v>
      </c>
      <c r="Y17" s="44">
        <f>IF(T2=1,AK17,IF(T2=2,AW17,BI17))</f>
        <v>1.6841559787537247E-3</v>
      </c>
      <c r="Z17" s="44">
        <f>IF(T2=1,AL17,IF(T2=2,AX17,BJ17))</f>
        <v>1.6841559787537247E-3</v>
      </c>
      <c r="AA17" s="44">
        <f>IF(T2=1,AM17,IF(T2=2,AY17,BK17))</f>
        <v>1.6841559787537247E-3</v>
      </c>
      <c r="AB17" s="44">
        <f>IF(T2=1,AN17,IF(T2=2,AZ17,BL17))</f>
        <v>1.6841559787537247E-3</v>
      </c>
      <c r="AD17" t="str">
        <f t="shared" si="12"/>
        <v>Other expenses / (income)</v>
      </c>
      <c r="AE17" s="45">
        <f>F17/F9</f>
        <v>1.6841559787537247E-3</v>
      </c>
      <c r="AF17" s="43">
        <f t="shared" ref="AF17:AN17" si="31">AE17</f>
        <v>1.6841559787537247E-3</v>
      </c>
      <c r="AG17" s="43">
        <f t="shared" si="31"/>
        <v>1.6841559787537247E-3</v>
      </c>
      <c r="AH17" s="43">
        <f t="shared" si="31"/>
        <v>1.6841559787537247E-3</v>
      </c>
      <c r="AI17" s="43">
        <f t="shared" si="31"/>
        <v>1.6841559787537247E-3</v>
      </c>
      <c r="AJ17" s="43">
        <f t="shared" si="31"/>
        <v>1.6841559787537247E-3</v>
      </c>
      <c r="AK17" s="43">
        <f t="shared" si="31"/>
        <v>1.6841559787537247E-3</v>
      </c>
      <c r="AL17" s="43">
        <f t="shared" si="31"/>
        <v>1.6841559787537247E-3</v>
      </c>
      <c r="AM17" s="43">
        <f t="shared" si="31"/>
        <v>1.6841559787537247E-3</v>
      </c>
      <c r="AN17" s="43">
        <f t="shared" si="31"/>
        <v>1.6841559787537247E-3</v>
      </c>
      <c r="AP17" t="str">
        <f t="shared" si="14"/>
        <v>Other expenses / (income)</v>
      </c>
      <c r="AQ17" s="45">
        <f>F17/F9</f>
        <v>1.6841559787537247E-3</v>
      </c>
      <c r="AR17" s="43">
        <f t="shared" ref="AR17:AZ17" si="32">AQ17</f>
        <v>1.6841559787537247E-3</v>
      </c>
      <c r="AS17" s="43">
        <f t="shared" si="32"/>
        <v>1.6841559787537247E-3</v>
      </c>
      <c r="AT17" s="43">
        <f t="shared" si="32"/>
        <v>1.6841559787537247E-3</v>
      </c>
      <c r="AU17" s="43">
        <f t="shared" si="32"/>
        <v>1.6841559787537247E-3</v>
      </c>
      <c r="AV17" s="43">
        <f t="shared" si="32"/>
        <v>1.6841559787537247E-3</v>
      </c>
      <c r="AW17" s="43">
        <f t="shared" si="32"/>
        <v>1.6841559787537247E-3</v>
      </c>
      <c r="AX17" s="43">
        <f t="shared" si="32"/>
        <v>1.6841559787537247E-3</v>
      </c>
      <c r="AY17" s="43">
        <f t="shared" si="32"/>
        <v>1.6841559787537247E-3</v>
      </c>
      <c r="AZ17" s="43">
        <f t="shared" si="32"/>
        <v>1.6841559787537247E-3</v>
      </c>
      <c r="BB17" t="str">
        <f t="shared" si="16"/>
        <v>Other expenses / (income)</v>
      </c>
      <c r="BC17" s="45">
        <f>F17/F9</f>
        <v>1.6841559787537247E-3</v>
      </c>
      <c r="BD17" s="43">
        <f t="shared" ref="BD17:BL17" si="33">BC17</f>
        <v>1.6841559787537247E-3</v>
      </c>
      <c r="BE17" s="43">
        <f t="shared" si="33"/>
        <v>1.6841559787537247E-3</v>
      </c>
      <c r="BF17" s="43">
        <f t="shared" si="33"/>
        <v>1.6841559787537247E-3</v>
      </c>
      <c r="BG17" s="43">
        <f t="shared" si="33"/>
        <v>1.6841559787537247E-3</v>
      </c>
      <c r="BH17" s="43">
        <f t="shared" si="33"/>
        <v>1.6841559787537247E-3</v>
      </c>
      <c r="BI17" s="43">
        <f t="shared" si="33"/>
        <v>1.6841559787537247E-3</v>
      </c>
      <c r="BJ17" s="43">
        <f t="shared" si="33"/>
        <v>1.6841559787537247E-3</v>
      </c>
      <c r="BK17" s="43">
        <f t="shared" si="33"/>
        <v>1.6841559787537247E-3</v>
      </c>
      <c r="BL17" s="43">
        <f t="shared" si="33"/>
        <v>1.6841559787537247E-3</v>
      </c>
    </row>
    <row r="18" spans="3:64">
      <c r="C18" s="40" t="s">
        <v>159</v>
      </c>
      <c r="D18" s="50">
        <v>0</v>
      </c>
      <c r="E18" s="50">
        <v>12</v>
      </c>
      <c r="F18" s="50">
        <v>63</v>
      </c>
      <c r="G18" s="49">
        <f>G9*S18</f>
        <v>63.352918186555492</v>
      </c>
      <c r="H18" s="49">
        <f t="shared" ref="H18:P18" si="34">T18*H9</f>
        <v>63.70781337702212</v>
      </c>
      <c r="I18" s="49">
        <f t="shared" si="34"/>
        <v>64.064696646330603</v>
      </c>
      <c r="J18" s="49">
        <f t="shared" si="34"/>
        <v>64.423579131452044</v>
      </c>
      <c r="K18" s="49">
        <f t="shared" si="34"/>
        <v>64.784472031745466</v>
      </c>
      <c r="L18" s="49">
        <f t="shared" si="34"/>
        <v>65.147386609307347</v>
      </c>
      <c r="M18" s="49">
        <f t="shared" si="34"/>
        <v>65.512334189322999</v>
      </c>
      <c r="N18" s="49">
        <f t="shared" si="34"/>
        <v>65.879326160420035</v>
      </c>
      <c r="O18" s="49">
        <f t="shared" si="34"/>
        <v>66.248373975023739</v>
      </c>
      <c r="P18" s="49">
        <f t="shared" si="34"/>
        <v>66.619489149714454</v>
      </c>
      <c r="R18" t="s">
        <v>159</v>
      </c>
      <c r="S18" s="44">
        <f>IF(T2=1,AE18,IF(T2=2,AQ18,BC18))</f>
        <v>8.1616789739603571E-3</v>
      </c>
      <c r="T18" s="44">
        <f>IF(T2=1,AF18,IF(T2=2,AR18,BD18))</f>
        <v>8.1616789739603571E-3</v>
      </c>
      <c r="U18" s="44">
        <f>IF(T2=1,AG18,IF(T2=2,AS18,BE18))</f>
        <v>8.1616789739603571E-3</v>
      </c>
      <c r="V18" s="44">
        <f>IF(T2=1,AH18,IF(T2=2,AT18,BF18))</f>
        <v>8.1616789739603571E-3</v>
      </c>
      <c r="W18" s="44">
        <f>IF(T2=1,AI18,IF(T2=2,AU18,BG18))</f>
        <v>8.1616789739603571E-3</v>
      </c>
      <c r="X18" s="44">
        <f>IF(T2=1,AJ18,IF(T2=2,AV18,BH18))</f>
        <v>8.1616789739603571E-3</v>
      </c>
      <c r="Y18" s="44">
        <f>IF(T2=1,AK18,IF(T2=2,AW18,BI18))</f>
        <v>8.1616789739603571E-3</v>
      </c>
      <c r="Z18" s="44">
        <f>IF(T2=1,AL18,IF(T2=2,AX18,BJ18))</f>
        <v>8.1616789739603571E-3</v>
      </c>
      <c r="AA18" s="44">
        <f>IF(T2=1,AM18,IF(T2=2,AY18,BK18))</f>
        <v>8.1616789739603571E-3</v>
      </c>
      <c r="AB18" s="44">
        <f>IF(T2=1,AN18,IF(T2=2,AZ18,BL18))</f>
        <v>8.1616789739603571E-3</v>
      </c>
      <c r="AD18" t="str">
        <f t="shared" si="12"/>
        <v>Restructuring charges</v>
      </c>
      <c r="AE18" s="45">
        <f>F18/F9</f>
        <v>8.1616789739603571E-3</v>
      </c>
      <c r="AF18" s="43">
        <f t="shared" ref="AF18:AN18" si="35">AE18</f>
        <v>8.1616789739603571E-3</v>
      </c>
      <c r="AG18" s="43">
        <f t="shared" si="35"/>
        <v>8.1616789739603571E-3</v>
      </c>
      <c r="AH18" s="43">
        <f t="shared" si="35"/>
        <v>8.1616789739603571E-3</v>
      </c>
      <c r="AI18" s="43">
        <f t="shared" si="35"/>
        <v>8.1616789739603571E-3</v>
      </c>
      <c r="AJ18" s="43">
        <f t="shared" si="35"/>
        <v>8.1616789739603571E-3</v>
      </c>
      <c r="AK18" s="43">
        <f t="shared" si="35"/>
        <v>8.1616789739603571E-3</v>
      </c>
      <c r="AL18" s="43">
        <f t="shared" si="35"/>
        <v>8.1616789739603571E-3</v>
      </c>
      <c r="AM18" s="43">
        <f t="shared" si="35"/>
        <v>8.1616789739603571E-3</v>
      </c>
      <c r="AN18" s="43">
        <f t="shared" si="35"/>
        <v>8.1616789739603571E-3</v>
      </c>
      <c r="AP18" t="str">
        <f t="shared" si="14"/>
        <v>Restructuring charges</v>
      </c>
      <c r="AQ18" s="45">
        <f>F18/F9</f>
        <v>8.1616789739603571E-3</v>
      </c>
      <c r="AR18" s="43">
        <f t="shared" ref="AR18:AZ18" si="36">AQ18</f>
        <v>8.1616789739603571E-3</v>
      </c>
      <c r="AS18" s="43">
        <f t="shared" si="36"/>
        <v>8.1616789739603571E-3</v>
      </c>
      <c r="AT18" s="43">
        <f t="shared" si="36"/>
        <v>8.1616789739603571E-3</v>
      </c>
      <c r="AU18" s="43">
        <f t="shared" si="36"/>
        <v>8.1616789739603571E-3</v>
      </c>
      <c r="AV18" s="43">
        <f t="shared" si="36"/>
        <v>8.1616789739603571E-3</v>
      </c>
      <c r="AW18" s="43">
        <f t="shared" si="36"/>
        <v>8.1616789739603571E-3</v>
      </c>
      <c r="AX18" s="43">
        <f t="shared" si="36"/>
        <v>8.1616789739603571E-3</v>
      </c>
      <c r="AY18" s="43">
        <f t="shared" si="36"/>
        <v>8.1616789739603571E-3</v>
      </c>
      <c r="AZ18" s="43">
        <f t="shared" si="36"/>
        <v>8.1616789739603571E-3</v>
      </c>
      <c r="BB18" t="str">
        <f t="shared" si="16"/>
        <v>Restructuring charges</v>
      </c>
      <c r="BC18" s="45">
        <f>F18/F9</f>
        <v>8.1616789739603571E-3</v>
      </c>
      <c r="BD18" s="43">
        <f t="shared" ref="BD18:BL18" si="37">BC18</f>
        <v>8.1616789739603571E-3</v>
      </c>
      <c r="BE18" s="43">
        <f t="shared" si="37"/>
        <v>8.1616789739603571E-3</v>
      </c>
      <c r="BF18" s="43">
        <f t="shared" si="37"/>
        <v>8.1616789739603571E-3</v>
      </c>
      <c r="BG18" s="43">
        <f t="shared" si="37"/>
        <v>8.1616789739603571E-3</v>
      </c>
      <c r="BH18" s="43">
        <f t="shared" si="37"/>
        <v>8.1616789739603571E-3</v>
      </c>
      <c r="BI18" s="43">
        <f t="shared" si="37"/>
        <v>8.1616789739603571E-3</v>
      </c>
      <c r="BJ18" s="43">
        <f t="shared" si="37"/>
        <v>8.1616789739603571E-3</v>
      </c>
      <c r="BK18" s="43">
        <f t="shared" si="37"/>
        <v>8.1616789739603571E-3</v>
      </c>
      <c r="BL18" s="43">
        <f t="shared" si="37"/>
        <v>8.1616789739603571E-3</v>
      </c>
    </row>
    <row r="19" spans="3:64">
      <c r="C19" t="s">
        <v>160</v>
      </c>
      <c r="D19" s="46">
        <f t="shared" ref="D19:P19" si="38">D18+D17+D16+D15+D14+D13</f>
        <v>6401</v>
      </c>
      <c r="E19" s="46">
        <f t="shared" si="38"/>
        <v>6328</v>
      </c>
      <c r="F19" s="46">
        <f t="shared" si="38"/>
        <v>6440</v>
      </c>
      <c r="G19" s="46">
        <f t="shared" si="38"/>
        <v>6476.076081292339</v>
      </c>
      <c r="H19" s="46">
        <f t="shared" si="38"/>
        <v>6512.3542563178171</v>
      </c>
      <c r="I19" s="46">
        <f t="shared" si="38"/>
        <v>6548.8356571804616</v>
      </c>
      <c r="J19" s="46">
        <f t="shared" si="38"/>
        <v>6585.5214223262083</v>
      </c>
      <c r="K19" s="46">
        <f t="shared" si="38"/>
        <v>6622.4126965784262</v>
      </c>
      <c r="L19" s="46">
        <f t="shared" si="38"/>
        <v>6659.5106311736408</v>
      </c>
      <c r="M19" s="46">
        <f t="shared" si="38"/>
        <v>6696.8163837974625</v>
      </c>
      <c r="N19" s="46">
        <f t="shared" si="38"/>
        <v>6734.3311186207156</v>
      </c>
      <c r="O19" s="46">
        <f t="shared" si="38"/>
        <v>6772.0560063357598</v>
      </c>
      <c r="P19" s="46">
        <f t="shared" si="38"/>
        <v>6809.9922241930335</v>
      </c>
    </row>
    <row r="20" spans="3:64">
      <c r="C20" s="47" t="s">
        <v>152</v>
      </c>
      <c r="E20" s="48">
        <f t="shared" ref="E20:P20" si="39">E19/D19-1</f>
        <v>-1.1404468051866901E-2</v>
      </c>
      <c r="F20" s="48">
        <f t="shared" si="39"/>
        <v>1.7699115044247815E-2</v>
      </c>
      <c r="G20" s="48">
        <f t="shared" si="39"/>
        <v>5.6018759770712911E-3</v>
      </c>
      <c r="H20" s="48">
        <f t="shared" si="39"/>
        <v>5.6018759770712911E-3</v>
      </c>
      <c r="I20" s="48">
        <f t="shared" si="39"/>
        <v>5.6018759770712911E-3</v>
      </c>
      <c r="J20" s="48">
        <f t="shared" si="39"/>
        <v>5.6018759770712911E-3</v>
      </c>
      <c r="K20" s="48">
        <f t="shared" si="39"/>
        <v>5.6018759770712911E-3</v>
      </c>
      <c r="L20" s="48">
        <f t="shared" si="39"/>
        <v>5.6018759770712911E-3</v>
      </c>
      <c r="M20" s="48">
        <f t="shared" si="39"/>
        <v>5.6018759770710691E-3</v>
      </c>
      <c r="N20" s="48">
        <f t="shared" si="39"/>
        <v>5.6018759770712911E-3</v>
      </c>
      <c r="O20" s="48">
        <f t="shared" si="39"/>
        <v>5.6018759770710691E-3</v>
      </c>
      <c r="P20" s="48">
        <f t="shared" si="39"/>
        <v>5.6018759770712911E-3</v>
      </c>
    </row>
    <row r="22" spans="3:64">
      <c r="C22" t="s">
        <v>161</v>
      </c>
      <c r="D22" s="46">
        <f t="shared" ref="D22:P22" si="40">D9-D19</f>
        <v>1185</v>
      </c>
      <c r="E22" s="46">
        <f t="shared" si="40"/>
        <v>1348</v>
      </c>
      <c r="F22" s="46">
        <f t="shared" si="40"/>
        <v>1279</v>
      </c>
      <c r="G22" s="46">
        <f t="shared" si="40"/>
        <v>1286.1647993746747</v>
      </c>
      <c r="H22" s="46">
        <f t="shared" si="40"/>
        <v>1293.3697350668463</v>
      </c>
      <c r="I22" s="46">
        <f t="shared" si="40"/>
        <v>1300.6150319151884</v>
      </c>
      <c r="J22" s="46">
        <f t="shared" si="40"/>
        <v>1307.9009160178921</v>
      </c>
      <c r="K22" s="46">
        <f t="shared" si="40"/>
        <v>1315.2276147397215</v>
      </c>
      <c r="L22" s="46">
        <f t="shared" si="40"/>
        <v>1322.5953567191127</v>
      </c>
      <c r="M22" s="46">
        <f t="shared" si="40"/>
        <v>1330.0043718753041</v>
      </c>
      <c r="N22" s="46">
        <f t="shared" si="40"/>
        <v>1337.4548914155112</v>
      </c>
      <c r="O22" s="46">
        <f t="shared" si="40"/>
        <v>1344.9471478421492</v>
      </c>
      <c r="P22" s="46">
        <f t="shared" si="40"/>
        <v>1352.4813749600762</v>
      </c>
    </row>
    <row r="24" spans="3:64">
      <c r="C24" t="s">
        <v>2</v>
      </c>
      <c r="D24" s="41">
        <f t="shared" ref="D24:P24" si="41">D30+D27</f>
        <v>1449</v>
      </c>
      <c r="E24" s="41">
        <f t="shared" si="41"/>
        <v>1599</v>
      </c>
      <c r="F24" s="41">
        <f t="shared" si="41"/>
        <v>1547</v>
      </c>
      <c r="G24" s="41">
        <f t="shared" si="41"/>
        <v>1555.6661021365298</v>
      </c>
      <c r="H24" s="41">
        <f t="shared" si="41"/>
        <v>1564.3807507024324</v>
      </c>
      <c r="I24" s="41">
        <f t="shared" si="41"/>
        <v>1573.1442176487853</v>
      </c>
      <c r="J24" s="41">
        <f t="shared" si="41"/>
        <v>1581.9567764501007</v>
      </c>
      <c r="K24" s="41">
        <f t="shared" si="41"/>
        <v>1590.818702112861</v>
      </c>
      <c r="L24" s="41">
        <f t="shared" si="41"/>
        <v>1599.7302711841028</v>
      </c>
      <c r="M24" s="41">
        <f t="shared" si="41"/>
        <v>1608.6917617600432</v>
      </c>
      <c r="N24" s="41">
        <f t="shared" si="41"/>
        <v>1617.7034534947584</v>
      </c>
      <c r="O24" s="41">
        <f t="shared" si="41"/>
        <v>1626.7656276089169</v>
      </c>
      <c r="P24" s="41">
        <f t="shared" si="41"/>
        <v>1635.878566898544</v>
      </c>
    </row>
    <row r="25" spans="3:64">
      <c r="C25" s="47" t="s">
        <v>162</v>
      </c>
      <c r="D25" s="48">
        <f t="shared" ref="D25:P25" si="42">D24/D9</f>
        <v>0.19100975481149485</v>
      </c>
      <c r="E25" s="48">
        <f t="shared" si="42"/>
        <v>0.20831162063574779</v>
      </c>
      <c r="F25" s="48">
        <f t="shared" si="42"/>
        <v>0.20041456147169323</v>
      </c>
      <c r="G25" s="48">
        <f t="shared" si="42"/>
        <v>0.20041456147169329</v>
      </c>
      <c r="H25" s="48">
        <f t="shared" si="42"/>
        <v>0.20041456147169323</v>
      </c>
      <c r="I25" s="48">
        <f t="shared" si="42"/>
        <v>0.20041456147169329</v>
      </c>
      <c r="J25" s="48">
        <f t="shared" si="42"/>
        <v>0.20041456147169329</v>
      </c>
      <c r="K25" s="48">
        <f t="shared" si="42"/>
        <v>0.20041456147169323</v>
      </c>
      <c r="L25" s="48">
        <f t="shared" si="42"/>
        <v>0.20041456147169323</v>
      </c>
      <c r="M25" s="48">
        <f t="shared" si="42"/>
        <v>0.20041456147169329</v>
      </c>
      <c r="N25" s="48">
        <f t="shared" si="42"/>
        <v>0.20041456147169318</v>
      </c>
      <c r="O25" s="48">
        <f t="shared" si="42"/>
        <v>0.20041456147169329</v>
      </c>
      <c r="P25" s="48">
        <f t="shared" si="42"/>
        <v>0.20041456147169323</v>
      </c>
    </row>
    <row r="27" spans="3:64">
      <c r="C27" t="s">
        <v>163</v>
      </c>
      <c r="D27" s="41">
        <v>264</v>
      </c>
      <c r="E27" s="41">
        <v>251</v>
      </c>
      <c r="F27" s="41">
        <v>268</v>
      </c>
      <c r="G27" s="41">
        <f t="shared" ref="G27:P27" si="43">G9*S27</f>
        <v>269.50130276185507</v>
      </c>
      <c r="H27" s="41">
        <f t="shared" si="43"/>
        <v>271.01101563558615</v>
      </c>
      <c r="I27" s="41">
        <f t="shared" si="43"/>
        <v>272.52918573359682</v>
      </c>
      <c r="J27" s="41">
        <f t="shared" si="43"/>
        <v>274.05586043220865</v>
      </c>
      <c r="K27" s="41">
        <f t="shared" si="43"/>
        <v>275.59108737313943</v>
      </c>
      <c r="L27" s="41">
        <f t="shared" si="43"/>
        <v>277.13491446499</v>
      </c>
      <c r="M27" s="41">
        <f t="shared" si="43"/>
        <v>278.6873898847391</v>
      </c>
      <c r="N27" s="41">
        <f t="shared" si="43"/>
        <v>280.24856207924711</v>
      </c>
      <c r="O27" s="41">
        <f t="shared" si="43"/>
        <v>281.81847976676761</v>
      </c>
      <c r="P27" s="41">
        <f t="shared" si="43"/>
        <v>283.39719193846781</v>
      </c>
      <c r="R27" t="str">
        <f>C27</f>
        <v>DA</v>
      </c>
      <c r="S27" s="44">
        <f>IF(T2=1,AE27,IF(T2=2,AQ27,BC27))</f>
        <v>3.4719523254307549E-2</v>
      </c>
      <c r="T27" s="44">
        <f>IF(T2=1,AF27,IF(T2=2,AR27,BD27))</f>
        <v>3.4719523254307549E-2</v>
      </c>
      <c r="U27" s="44">
        <f>IF(T2=1,AG27,IF(T2=2,AS27,BE27))</f>
        <v>3.4719523254307549E-2</v>
      </c>
      <c r="V27" s="44">
        <f>IF(T2=1,AH27,IF(T2=2,AT27,BF27))</f>
        <v>3.4719523254307549E-2</v>
      </c>
      <c r="W27" s="44">
        <f>IF(T2=1,AI27,IF(T2=2,AU27,BG27))</f>
        <v>3.4719523254307549E-2</v>
      </c>
      <c r="X27" s="44">
        <f>IF(T2=1,AJ27,IF(T2=2,AV27,BH27))</f>
        <v>3.4719523254307549E-2</v>
      </c>
      <c r="Y27" s="44">
        <f>IF(T2=1,AK27,IF(T2=2,AW27,BI27))</f>
        <v>3.4719523254307549E-2</v>
      </c>
      <c r="Z27" s="44">
        <f>IF(T2=1,AL27,IF(T2=2,AX27,BJ27))</f>
        <v>3.4719523254307549E-2</v>
      </c>
      <c r="AA27" s="44">
        <f>IF(T2=1,AM27,IF(T2=2,AY27,BK27))</f>
        <v>3.4719523254307549E-2</v>
      </c>
      <c r="AB27" s="44">
        <f>IF(T2=1,AN27,IF(T2=2,AZ27,BL27))</f>
        <v>3.4719523254307549E-2</v>
      </c>
      <c r="AD27" t="str">
        <f>C27</f>
        <v>DA</v>
      </c>
      <c r="AE27" s="45">
        <f>F27/F9</f>
        <v>3.4719523254307549E-2</v>
      </c>
      <c r="AF27" s="43">
        <f t="shared" ref="AF27:AN27" si="44">AE27</f>
        <v>3.4719523254307549E-2</v>
      </c>
      <c r="AG27" s="43">
        <f t="shared" si="44"/>
        <v>3.4719523254307549E-2</v>
      </c>
      <c r="AH27" s="43">
        <f t="shared" si="44"/>
        <v>3.4719523254307549E-2</v>
      </c>
      <c r="AI27" s="43">
        <f t="shared" si="44"/>
        <v>3.4719523254307549E-2</v>
      </c>
      <c r="AJ27" s="43">
        <f t="shared" si="44"/>
        <v>3.4719523254307549E-2</v>
      </c>
      <c r="AK27" s="43">
        <f t="shared" si="44"/>
        <v>3.4719523254307549E-2</v>
      </c>
      <c r="AL27" s="43">
        <f t="shared" si="44"/>
        <v>3.4719523254307549E-2</v>
      </c>
      <c r="AM27" s="43">
        <f t="shared" si="44"/>
        <v>3.4719523254307549E-2</v>
      </c>
      <c r="AN27" s="43">
        <f t="shared" si="44"/>
        <v>3.4719523254307549E-2</v>
      </c>
      <c r="AP27" t="str">
        <f>C27</f>
        <v>DA</v>
      </c>
      <c r="AQ27" s="45">
        <f>F27/F9</f>
        <v>3.4719523254307549E-2</v>
      </c>
      <c r="AR27" s="43">
        <f t="shared" ref="AR27:AZ27" si="45">AQ27</f>
        <v>3.4719523254307549E-2</v>
      </c>
      <c r="AS27" s="43">
        <f t="shared" si="45"/>
        <v>3.4719523254307549E-2</v>
      </c>
      <c r="AT27" s="43">
        <f t="shared" si="45"/>
        <v>3.4719523254307549E-2</v>
      </c>
      <c r="AU27" s="43">
        <f t="shared" si="45"/>
        <v>3.4719523254307549E-2</v>
      </c>
      <c r="AV27" s="43">
        <f t="shared" si="45"/>
        <v>3.4719523254307549E-2</v>
      </c>
      <c r="AW27" s="43">
        <f t="shared" si="45"/>
        <v>3.4719523254307549E-2</v>
      </c>
      <c r="AX27" s="43">
        <f t="shared" si="45"/>
        <v>3.4719523254307549E-2</v>
      </c>
      <c r="AY27" s="43">
        <f t="shared" si="45"/>
        <v>3.4719523254307549E-2</v>
      </c>
      <c r="AZ27" s="43">
        <f t="shared" si="45"/>
        <v>3.4719523254307549E-2</v>
      </c>
      <c r="BB27" t="str">
        <f>C27</f>
        <v>DA</v>
      </c>
      <c r="BC27" s="45">
        <f>F27/F9</f>
        <v>3.4719523254307549E-2</v>
      </c>
      <c r="BD27" s="43">
        <f t="shared" ref="BD27:BL27" si="46">BC27</f>
        <v>3.4719523254307549E-2</v>
      </c>
      <c r="BE27" s="43">
        <f t="shared" si="46"/>
        <v>3.4719523254307549E-2</v>
      </c>
      <c r="BF27" s="43">
        <f t="shared" si="46"/>
        <v>3.4719523254307549E-2</v>
      </c>
      <c r="BG27" s="43">
        <f t="shared" si="46"/>
        <v>3.4719523254307549E-2</v>
      </c>
      <c r="BH27" s="43">
        <f t="shared" si="46"/>
        <v>3.4719523254307549E-2</v>
      </c>
      <c r="BI27" s="43">
        <f t="shared" si="46"/>
        <v>3.4719523254307549E-2</v>
      </c>
      <c r="BJ27" s="43">
        <f t="shared" si="46"/>
        <v>3.4719523254307549E-2</v>
      </c>
      <c r="BK27" s="43">
        <f t="shared" si="46"/>
        <v>3.4719523254307549E-2</v>
      </c>
      <c r="BL27" s="43">
        <f t="shared" si="46"/>
        <v>3.4719523254307549E-2</v>
      </c>
    </row>
    <row r="30" spans="3:64">
      <c r="C30" t="s">
        <v>4</v>
      </c>
      <c r="D30" s="41">
        <f t="shared" ref="D30:P30" si="47">D9-D19</f>
        <v>1185</v>
      </c>
      <c r="E30" s="41">
        <f t="shared" si="47"/>
        <v>1348</v>
      </c>
      <c r="F30" s="41">
        <f t="shared" si="47"/>
        <v>1279</v>
      </c>
      <c r="G30" s="41">
        <f t="shared" si="47"/>
        <v>1286.1647993746747</v>
      </c>
      <c r="H30" s="41">
        <f t="shared" si="47"/>
        <v>1293.3697350668463</v>
      </c>
      <c r="I30" s="41">
        <f t="shared" si="47"/>
        <v>1300.6150319151884</v>
      </c>
      <c r="J30" s="41">
        <f t="shared" si="47"/>
        <v>1307.9009160178921</v>
      </c>
      <c r="K30" s="41">
        <f t="shared" si="47"/>
        <v>1315.2276147397215</v>
      </c>
      <c r="L30" s="41">
        <f t="shared" si="47"/>
        <v>1322.5953567191127</v>
      </c>
      <c r="M30" s="41">
        <f t="shared" si="47"/>
        <v>1330.0043718753041</v>
      </c>
      <c r="N30" s="41">
        <f t="shared" si="47"/>
        <v>1337.4548914155112</v>
      </c>
      <c r="O30" s="41">
        <f t="shared" si="47"/>
        <v>1344.9471478421492</v>
      </c>
      <c r="P30" s="41">
        <f t="shared" si="47"/>
        <v>1352.4813749600762</v>
      </c>
    </row>
    <row r="31" spans="3:64">
      <c r="C31" s="47" t="s">
        <v>162</v>
      </c>
      <c r="D31" s="48">
        <f t="shared" ref="D31:P31" si="48">D30/D9</f>
        <v>0.15620880569470078</v>
      </c>
      <c r="E31" s="48">
        <f t="shared" si="48"/>
        <v>0.17561229807191245</v>
      </c>
      <c r="F31" s="48">
        <f t="shared" si="48"/>
        <v>0.16569503821738568</v>
      </c>
      <c r="G31" s="48">
        <f t="shared" si="48"/>
        <v>0.16569503821738574</v>
      </c>
      <c r="H31" s="48">
        <f t="shared" si="48"/>
        <v>0.16569503821738571</v>
      </c>
      <c r="I31" s="48">
        <f t="shared" si="48"/>
        <v>0.16569503821738571</v>
      </c>
      <c r="J31" s="48">
        <f t="shared" si="48"/>
        <v>0.16569503821738574</v>
      </c>
      <c r="K31" s="48">
        <f t="shared" si="48"/>
        <v>0.16569503821738565</v>
      </c>
      <c r="L31" s="48">
        <f t="shared" si="48"/>
        <v>0.16569503821738565</v>
      </c>
      <c r="M31" s="48">
        <f t="shared" si="48"/>
        <v>0.16569503821738574</v>
      </c>
      <c r="N31" s="48">
        <f t="shared" si="48"/>
        <v>0.16569503821738563</v>
      </c>
      <c r="O31" s="48">
        <f t="shared" si="48"/>
        <v>0.16569503821738574</v>
      </c>
      <c r="P31" s="48">
        <f t="shared" si="48"/>
        <v>0.16569503821738568</v>
      </c>
    </row>
    <row r="34" spans="3:64">
      <c r="C34" t="s">
        <v>77</v>
      </c>
      <c r="D34" s="42">
        <v>110</v>
      </c>
      <c r="E34" s="42">
        <v>112</v>
      </c>
      <c r="F34" s="42">
        <v>122</v>
      </c>
      <c r="G34" s="58">
        <f>CashFlow!F59-CashFlow!F56</f>
        <v>0</v>
      </c>
      <c r="H34" s="58">
        <f>CashFlow!G59-CashFlow!G56</f>
        <v>0</v>
      </c>
      <c r="I34" s="58">
        <f>CashFlow!H59-CashFlow!H56</f>
        <v>0</v>
      </c>
      <c r="J34" s="58">
        <f>CashFlow!I59-CashFlow!I56</f>
        <v>0</v>
      </c>
      <c r="K34" s="58">
        <f>CashFlow!J59-CashFlow!J56</f>
        <v>0</v>
      </c>
      <c r="L34" s="58">
        <f>CashFlow!K59-CashFlow!K56</f>
        <v>0</v>
      </c>
      <c r="M34" s="58">
        <f>CashFlow!L59-CashFlow!L56</f>
        <v>0</v>
      </c>
      <c r="N34" s="58">
        <f>CashFlow!M59-CashFlow!M56</f>
        <v>0</v>
      </c>
      <c r="O34" s="58">
        <f>CashFlow!N59-CashFlow!N56</f>
        <v>0</v>
      </c>
      <c r="P34" s="58">
        <f>CashFlow!O59-CashFlow!O56</f>
        <v>0</v>
      </c>
    </row>
    <row r="35" spans="3:64">
      <c r="C35" t="s">
        <v>164</v>
      </c>
      <c r="D35" s="42">
        <v>4</v>
      </c>
      <c r="E35" s="42">
        <v>6</v>
      </c>
      <c r="F35" s="42">
        <v>11</v>
      </c>
      <c r="G35" s="58">
        <f>CashFlow!F56</f>
        <v>0</v>
      </c>
      <c r="H35" s="58">
        <f>CashFlow!G56</f>
        <v>0</v>
      </c>
      <c r="I35" s="58">
        <f>CashFlow!H56</f>
        <v>0</v>
      </c>
      <c r="J35" s="58">
        <f>CashFlow!I56</f>
        <v>0</v>
      </c>
      <c r="K35" s="58">
        <f>CashFlow!J56</f>
        <v>0</v>
      </c>
      <c r="L35" s="58">
        <f>CashFlow!K56</f>
        <v>0</v>
      </c>
      <c r="M35" s="58">
        <f>CashFlow!L56</f>
        <v>0</v>
      </c>
      <c r="N35" s="58">
        <f>CashFlow!M56</f>
        <v>0</v>
      </c>
      <c r="O35" s="58">
        <f>CashFlow!N56</f>
        <v>0</v>
      </c>
      <c r="P35" s="58">
        <f>CashFlow!O56</f>
        <v>0</v>
      </c>
    </row>
    <row r="37" spans="3:64">
      <c r="C37" t="s">
        <v>165</v>
      </c>
      <c r="D37" s="46">
        <f t="shared" ref="D37:P37" si="49">D36</f>
        <v>0</v>
      </c>
      <c r="E37" s="46">
        <f t="shared" si="49"/>
        <v>0</v>
      </c>
      <c r="F37" s="46">
        <f t="shared" si="49"/>
        <v>0</v>
      </c>
      <c r="G37" s="46">
        <f t="shared" si="49"/>
        <v>0</v>
      </c>
      <c r="H37" s="46">
        <f t="shared" si="49"/>
        <v>0</v>
      </c>
      <c r="I37" s="46">
        <f t="shared" si="49"/>
        <v>0</v>
      </c>
      <c r="J37" s="46">
        <f t="shared" si="49"/>
        <v>0</v>
      </c>
      <c r="K37" s="46">
        <f t="shared" si="49"/>
        <v>0</v>
      </c>
      <c r="L37" s="46">
        <f t="shared" si="49"/>
        <v>0</v>
      </c>
      <c r="M37" s="46">
        <f t="shared" si="49"/>
        <v>0</v>
      </c>
      <c r="N37" s="46">
        <f t="shared" si="49"/>
        <v>0</v>
      </c>
      <c r="O37" s="46">
        <f t="shared" si="49"/>
        <v>0</v>
      </c>
      <c r="P37" s="46">
        <f t="shared" si="49"/>
        <v>0</v>
      </c>
    </row>
    <row r="39" spans="3:64">
      <c r="C39" t="s">
        <v>106</v>
      </c>
      <c r="D39" s="41">
        <f t="shared" ref="D39:P39" si="50">D22-D34-D35-D37</f>
        <v>1071</v>
      </c>
      <c r="E39" s="41">
        <f t="shared" si="50"/>
        <v>1230</v>
      </c>
      <c r="F39" s="41">
        <f t="shared" si="50"/>
        <v>1146</v>
      </c>
      <c r="G39" s="41">
        <f t="shared" si="50"/>
        <v>1286.1647993746747</v>
      </c>
      <c r="H39" s="41">
        <f t="shared" si="50"/>
        <v>1293.3697350668463</v>
      </c>
      <c r="I39" s="41">
        <f t="shared" si="50"/>
        <v>1300.6150319151884</v>
      </c>
      <c r="J39" s="41">
        <f t="shared" si="50"/>
        <v>1307.9009160178921</v>
      </c>
      <c r="K39" s="41">
        <f t="shared" si="50"/>
        <v>1315.2276147397215</v>
      </c>
      <c r="L39" s="41">
        <f t="shared" si="50"/>
        <v>1322.5953567191127</v>
      </c>
      <c r="M39" s="41">
        <f t="shared" si="50"/>
        <v>1330.0043718753041</v>
      </c>
      <c r="N39" s="41">
        <f t="shared" si="50"/>
        <v>1337.4548914155112</v>
      </c>
      <c r="O39" s="41">
        <f t="shared" si="50"/>
        <v>1344.9471478421492</v>
      </c>
      <c r="P39" s="41">
        <f t="shared" si="50"/>
        <v>1352.4813749600762</v>
      </c>
    </row>
    <row r="41" spans="3:64">
      <c r="C41" t="s">
        <v>78</v>
      </c>
      <c r="D41" s="42">
        <v>347</v>
      </c>
      <c r="E41" s="42">
        <v>398</v>
      </c>
      <c r="F41" s="42">
        <v>366</v>
      </c>
      <c r="G41" s="41">
        <f t="shared" ref="G41:P41" si="51">S41*G39</f>
        <v>410.76467414583851</v>
      </c>
      <c r="H41" s="41">
        <f t="shared" si="51"/>
        <v>413.06572690616554</v>
      </c>
      <c r="I41" s="41">
        <f t="shared" si="51"/>
        <v>415.37966987867276</v>
      </c>
      <c r="J41" s="41">
        <f t="shared" si="51"/>
        <v>417.70657527272994</v>
      </c>
      <c r="K41" s="41">
        <f t="shared" si="51"/>
        <v>420.04651570221472</v>
      </c>
      <c r="L41" s="41">
        <f t="shared" si="51"/>
        <v>422.39956418777945</v>
      </c>
      <c r="M41" s="41">
        <f t="shared" si="51"/>
        <v>424.76579415912852</v>
      </c>
      <c r="N41" s="41">
        <f t="shared" si="51"/>
        <v>427.14527945730987</v>
      </c>
      <c r="O41" s="41">
        <f t="shared" si="51"/>
        <v>429.5380943370215</v>
      </c>
      <c r="P41" s="41">
        <f t="shared" si="51"/>
        <v>431.94431346892486</v>
      </c>
      <c r="R41" t="str">
        <f>C41</f>
        <v>Taxes</v>
      </c>
      <c r="S41" s="44">
        <f>IF(T2=1,AE41,IF(T2=2,AQ41,BC41))</f>
        <v>0.3193717277486911</v>
      </c>
      <c r="T41" s="44">
        <f>IF(T2=1,AF41,IF(T2=2,AR41,BD41))</f>
        <v>0.3193717277486911</v>
      </c>
      <c r="U41" s="44">
        <f>IF(T2=1,AG41,IF(T2=2,AS41,BE41))</f>
        <v>0.3193717277486911</v>
      </c>
      <c r="V41" s="44">
        <f>IF(T2=1,AH41,IF(T2=2,AT41,BF41))</f>
        <v>0.3193717277486911</v>
      </c>
      <c r="W41" s="44">
        <f>IF(T2=1,AI41,IF(T2=2,AU41,BG41))</f>
        <v>0.3193717277486911</v>
      </c>
      <c r="X41" s="44">
        <f>IF(T2=1,AJ41,IF(T2=2,AV41,BH41))</f>
        <v>0.3193717277486911</v>
      </c>
      <c r="Y41" s="44">
        <f>IF(T2=1,AK41,IF(T2=2,AW41,BI41))</f>
        <v>0.3193717277486911</v>
      </c>
      <c r="Z41" s="44">
        <f>IF(T2=1,AL41,IF(T2=2,AX41,BJ41))</f>
        <v>0.3193717277486911</v>
      </c>
      <c r="AA41" s="44">
        <f>IF(T2=1,AM41,IF(T2=2,AY41,BK41))</f>
        <v>0.3193717277486911</v>
      </c>
      <c r="AB41" s="44">
        <f>IF(T2=1,AN41,IF(T2=2,AZ41,BL41))</f>
        <v>0.3193717277486911</v>
      </c>
      <c r="AD41" t="str">
        <f>C41</f>
        <v>Taxes</v>
      </c>
      <c r="AE41" s="45">
        <f>F41/F39</f>
        <v>0.3193717277486911</v>
      </c>
      <c r="AF41" s="43">
        <f t="shared" ref="AF41:AN41" si="52">AE41</f>
        <v>0.3193717277486911</v>
      </c>
      <c r="AG41" s="43">
        <f t="shared" si="52"/>
        <v>0.3193717277486911</v>
      </c>
      <c r="AH41" s="43">
        <f t="shared" si="52"/>
        <v>0.3193717277486911</v>
      </c>
      <c r="AI41" s="43">
        <f t="shared" si="52"/>
        <v>0.3193717277486911</v>
      </c>
      <c r="AJ41" s="43">
        <f t="shared" si="52"/>
        <v>0.3193717277486911</v>
      </c>
      <c r="AK41" s="43">
        <f t="shared" si="52"/>
        <v>0.3193717277486911</v>
      </c>
      <c r="AL41" s="43">
        <f t="shared" si="52"/>
        <v>0.3193717277486911</v>
      </c>
      <c r="AM41" s="43">
        <f t="shared" si="52"/>
        <v>0.3193717277486911</v>
      </c>
      <c r="AN41" s="43">
        <f t="shared" si="52"/>
        <v>0.3193717277486911</v>
      </c>
      <c r="AP41" t="str">
        <f>C41</f>
        <v>Taxes</v>
      </c>
      <c r="AQ41" s="45">
        <f>F41/F39</f>
        <v>0.3193717277486911</v>
      </c>
      <c r="AR41" s="43">
        <f t="shared" ref="AR41:AZ41" si="53">AQ41</f>
        <v>0.3193717277486911</v>
      </c>
      <c r="AS41" s="43">
        <f t="shared" si="53"/>
        <v>0.3193717277486911</v>
      </c>
      <c r="AT41" s="43">
        <f t="shared" si="53"/>
        <v>0.3193717277486911</v>
      </c>
      <c r="AU41" s="43">
        <f t="shared" si="53"/>
        <v>0.3193717277486911</v>
      </c>
      <c r="AV41" s="43">
        <f t="shared" si="53"/>
        <v>0.3193717277486911</v>
      </c>
      <c r="AW41" s="43">
        <f t="shared" si="53"/>
        <v>0.3193717277486911</v>
      </c>
      <c r="AX41" s="43">
        <f t="shared" si="53"/>
        <v>0.3193717277486911</v>
      </c>
      <c r="AY41" s="43">
        <f t="shared" si="53"/>
        <v>0.3193717277486911</v>
      </c>
      <c r="AZ41" s="43">
        <f t="shared" si="53"/>
        <v>0.3193717277486911</v>
      </c>
      <c r="BB41" t="str">
        <f>C41</f>
        <v>Taxes</v>
      </c>
      <c r="BC41" s="45">
        <f>F41/F39</f>
        <v>0.3193717277486911</v>
      </c>
      <c r="BD41" s="43">
        <f t="shared" ref="BD41:BL41" si="54">BC41</f>
        <v>0.3193717277486911</v>
      </c>
      <c r="BE41" s="43">
        <f t="shared" si="54"/>
        <v>0.3193717277486911</v>
      </c>
      <c r="BF41" s="43">
        <f t="shared" si="54"/>
        <v>0.3193717277486911</v>
      </c>
      <c r="BG41" s="43">
        <f t="shared" si="54"/>
        <v>0.3193717277486911</v>
      </c>
      <c r="BH41" s="43">
        <f t="shared" si="54"/>
        <v>0.3193717277486911</v>
      </c>
      <c r="BI41" s="43">
        <f t="shared" si="54"/>
        <v>0.3193717277486911</v>
      </c>
      <c r="BJ41" s="43">
        <f t="shared" si="54"/>
        <v>0.3193717277486911</v>
      </c>
      <c r="BK41" s="43">
        <f t="shared" si="54"/>
        <v>0.3193717277486911</v>
      </c>
      <c r="BL41" s="43">
        <f t="shared" si="54"/>
        <v>0.3193717277486911</v>
      </c>
    </row>
    <row r="42" spans="3:64">
      <c r="C42" t="s">
        <v>166</v>
      </c>
      <c r="D42" s="48">
        <f t="shared" ref="D42:P42" si="55">D41/D39</f>
        <v>0.32399626517273578</v>
      </c>
      <c r="E42" s="48">
        <f t="shared" si="55"/>
        <v>0.3235772357723577</v>
      </c>
      <c r="F42" s="48">
        <f t="shared" si="55"/>
        <v>0.3193717277486911</v>
      </c>
      <c r="G42" s="48">
        <f t="shared" si="55"/>
        <v>0.3193717277486911</v>
      </c>
      <c r="H42" s="48">
        <f t="shared" si="55"/>
        <v>0.3193717277486911</v>
      </c>
      <c r="I42" s="48">
        <f t="shared" si="55"/>
        <v>0.3193717277486911</v>
      </c>
      <c r="J42" s="48">
        <f t="shared" si="55"/>
        <v>0.3193717277486911</v>
      </c>
      <c r="K42" s="48">
        <f t="shared" si="55"/>
        <v>0.3193717277486911</v>
      </c>
      <c r="L42" s="48">
        <f t="shared" si="55"/>
        <v>0.3193717277486911</v>
      </c>
      <c r="M42" s="48">
        <f t="shared" si="55"/>
        <v>0.3193717277486911</v>
      </c>
      <c r="N42" s="48">
        <f t="shared" si="55"/>
        <v>0.3193717277486911</v>
      </c>
      <c r="O42" s="48">
        <f t="shared" si="55"/>
        <v>0.3193717277486911</v>
      </c>
      <c r="P42" s="48">
        <f t="shared" si="55"/>
        <v>0.3193717277486911</v>
      </c>
    </row>
    <row r="44" spans="3:64">
      <c r="C44" t="s">
        <v>107</v>
      </c>
      <c r="D44" s="46">
        <f t="shared" ref="D44:P44" si="56">D39-D41</f>
        <v>724</v>
      </c>
      <c r="E44" s="46">
        <f t="shared" si="56"/>
        <v>832</v>
      </c>
      <c r="F44" s="46">
        <f t="shared" si="56"/>
        <v>780</v>
      </c>
      <c r="G44" s="46">
        <f t="shared" si="56"/>
        <v>875.40012522883615</v>
      </c>
      <c r="H44" s="46">
        <f t="shared" si="56"/>
        <v>880.30400816068072</v>
      </c>
      <c r="I44" s="46">
        <f t="shared" si="56"/>
        <v>885.23536203651565</v>
      </c>
      <c r="J44" s="46">
        <f t="shared" si="56"/>
        <v>890.19434074516221</v>
      </c>
      <c r="K44" s="46">
        <f t="shared" si="56"/>
        <v>895.18109903750678</v>
      </c>
      <c r="L44" s="46">
        <f t="shared" si="56"/>
        <v>900.19579253133327</v>
      </c>
      <c r="M44" s="46">
        <f t="shared" si="56"/>
        <v>905.23857771617554</v>
      </c>
      <c r="N44" s="46">
        <f t="shared" si="56"/>
        <v>910.30961195820123</v>
      </c>
      <c r="O44" s="46">
        <f t="shared" si="56"/>
        <v>915.40905350512776</v>
      </c>
      <c r="P44" s="46">
        <f t="shared" si="56"/>
        <v>920.53706149115135</v>
      </c>
    </row>
    <row r="45" spans="3:64">
      <c r="C45" t="s">
        <v>162</v>
      </c>
      <c r="D45" s="48">
        <f t="shared" ref="D45:P45" si="57">D44/D9</f>
        <v>9.5438966517268659E-2</v>
      </c>
      <c r="E45" s="48">
        <f t="shared" si="57"/>
        <v>0.10838978634705576</v>
      </c>
      <c r="F45" s="48">
        <f t="shared" si="57"/>
        <v>0.10104935872522347</v>
      </c>
      <c r="G45" s="48">
        <f t="shared" si="57"/>
        <v>0.11277672758251384</v>
      </c>
      <c r="H45" s="48">
        <f t="shared" si="57"/>
        <v>0.11277672758251384</v>
      </c>
      <c r="I45" s="48">
        <f t="shared" si="57"/>
        <v>0.11277672758251384</v>
      </c>
      <c r="J45" s="48">
        <f t="shared" si="57"/>
        <v>0.11277672758251386</v>
      </c>
      <c r="K45" s="48">
        <f t="shared" si="57"/>
        <v>0.11277672758251379</v>
      </c>
      <c r="L45" s="48">
        <f t="shared" si="57"/>
        <v>0.11277672758251379</v>
      </c>
      <c r="M45" s="48">
        <f t="shared" si="57"/>
        <v>0.11277672758251385</v>
      </c>
      <c r="N45" s="48">
        <f t="shared" si="57"/>
        <v>0.11277672758251377</v>
      </c>
      <c r="O45" s="48">
        <f t="shared" si="57"/>
        <v>0.11277672758251385</v>
      </c>
      <c r="P45" s="48">
        <f t="shared" si="57"/>
        <v>0.11277672758251382</v>
      </c>
    </row>
    <row r="47" spans="3:64">
      <c r="C47" t="s">
        <v>167</v>
      </c>
      <c r="D47" s="42">
        <v>-345</v>
      </c>
      <c r="E47" s="42">
        <v>-315</v>
      </c>
      <c r="F47" s="42">
        <v>-272</v>
      </c>
      <c r="G47" s="41">
        <f t="shared" ref="G47:P47" si="58">S47*G9</f>
        <v>-273.52371026576338</v>
      </c>
      <c r="H47" s="41">
        <f t="shared" si="58"/>
        <v>-275.05595616746058</v>
      </c>
      <c r="I47" s="41">
        <f t="shared" si="58"/>
        <v>-276.59678552066543</v>
      </c>
      <c r="J47" s="41">
        <f t="shared" si="58"/>
        <v>-278.14624640880879</v>
      </c>
      <c r="K47" s="41">
        <f t="shared" si="58"/>
        <v>-279.70438718467886</v>
      </c>
      <c r="L47" s="41">
        <f t="shared" si="58"/>
        <v>-281.27125647193014</v>
      </c>
      <c r="M47" s="41">
        <f t="shared" si="58"/>
        <v>-282.8469031666009</v>
      </c>
      <c r="N47" s="41">
        <f t="shared" si="58"/>
        <v>-284.43137643863889</v>
      </c>
      <c r="O47" s="41">
        <f t="shared" si="58"/>
        <v>-286.02472573343584</v>
      </c>
      <c r="P47" s="41">
        <f t="shared" si="58"/>
        <v>-287.62700077337036</v>
      </c>
      <c r="R47" t="str">
        <f>C47</f>
        <v>Cap Ex</v>
      </c>
      <c r="S47" s="44">
        <f>IF(T2=1,AE47,IF(T2=2,AQ47,BC47))</f>
        <v>-3.5237725093924081E-2</v>
      </c>
      <c r="T47" s="44">
        <f>IF(T2=1,AF47,IF(T2=2,AR47,BD47))</f>
        <v>-3.5237725093924081E-2</v>
      </c>
      <c r="U47" s="44">
        <f>IF(T2=1,AG47,IF(T2=2,AS47,BE47))</f>
        <v>-3.5237725093924081E-2</v>
      </c>
      <c r="V47" s="44">
        <f>IF(T2=1,AH47,IF(T2=2,AT47,BF47))</f>
        <v>-3.5237725093924081E-2</v>
      </c>
      <c r="W47" s="44">
        <f>IF(T2=1,AI47,IF(T2=2,AU47,BG47))</f>
        <v>-3.5237725093924081E-2</v>
      </c>
      <c r="X47" s="44">
        <f>IF(T2=1,AJ47,IF(T2=2,AV47,BH47))</f>
        <v>-3.5237725093924081E-2</v>
      </c>
      <c r="Y47" s="44">
        <f>IF(T2=1,AK47,IF(T2=2,AW47,BI47))</f>
        <v>-3.5237725093924081E-2</v>
      </c>
      <c r="Z47" s="44">
        <f>IF(T2=1,AL47,IF(T2=2,AX47,BJ47))</f>
        <v>-3.5237725093924081E-2</v>
      </c>
      <c r="AA47" s="44">
        <f>IF(T2=1,AM47,IF(T2=2,AY47,BK47))</f>
        <v>-3.5237725093924081E-2</v>
      </c>
      <c r="AB47" s="44">
        <f>IF(T2=1,AN47,IF(T2=2,AZ47,BL47))</f>
        <v>-3.5237725093924081E-2</v>
      </c>
      <c r="AD47" t="str">
        <f>C47</f>
        <v>Cap Ex</v>
      </c>
      <c r="AE47" s="45">
        <f>F47/F9</f>
        <v>-3.5237725093924081E-2</v>
      </c>
      <c r="AF47" s="43">
        <f t="shared" ref="AF47:AN47" si="59">AE47</f>
        <v>-3.5237725093924081E-2</v>
      </c>
      <c r="AG47" s="43">
        <f t="shared" si="59"/>
        <v>-3.5237725093924081E-2</v>
      </c>
      <c r="AH47" s="43">
        <f t="shared" si="59"/>
        <v>-3.5237725093924081E-2</v>
      </c>
      <c r="AI47" s="43">
        <f t="shared" si="59"/>
        <v>-3.5237725093924081E-2</v>
      </c>
      <c r="AJ47" s="43">
        <f t="shared" si="59"/>
        <v>-3.5237725093924081E-2</v>
      </c>
      <c r="AK47" s="43">
        <f t="shared" si="59"/>
        <v>-3.5237725093924081E-2</v>
      </c>
      <c r="AL47" s="43">
        <f t="shared" si="59"/>
        <v>-3.5237725093924081E-2</v>
      </c>
      <c r="AM47" s="43">
        <f t="shared" si="59"/>
        <v>-3.5237725093924081E-2</v>
      </c>
      <c r="AN47" s="43">
        <f t="shared" si="59"/>
        <v>-3.5237725093924081E-2</v>
      </c>
      <c r="AP47" t="str">
        <f>C47</f>
        <v>Cap Ex</v>
      </c>
      <c r="AQ47" s="45">
        <f>F47/F9</f>
        <v>-3.5237725093924081E-2</v>
      </c>
      <c r="AR47" s="43">
        <f t="shared" ref="AR47:AZ47" si="60">AQ47</f>
        <v>-3.5237725093924081E-2</v>
      </c>
      <c r="AS47" s="43">
        <f t="shared" si="60"/>
        <v>-3.5237725093924081E-2</v>
      </c>
      <c r="AT47" s="43">
        <f t="shared" si="60"/>
        <v>-3.5237725093924081E-2</v>
      </c>
      <c r="AU47" s="43">
        <f t="shared" si="60"/>
        <v>-3.5237725093924081E-2</v>
      </c>
      <c r="AV47" s="43">
        <f t="shared" si="60"/>
        <v>-3.5237725093924081E-2</v>
      </c>
      <c r="AW47" s="43">
        <f t="shared" si="60"/>
        <v>-3.5237725093924081E-2</v>
      </c>
      <c r="AX47" s="43">
        <f t="shared" si="60"/>
        <v>-3.5237725093924081E-2</v>
      </c>
      <c r="AY47" s="43">
        <f t="shared" si="60"/>
        <v>-3.5237725093924081E-2</v>
      </c>
      <c r="AZ47" s="43">
        <f t="shared" si="60"/>
        <v>-3.5237725093924081E-2</v>
      </c>
      <c r="BB47" t="str">
        <f>C47</f>
        <v>Cap Ex</v>
      </c>
      <c r="BC47" s="45">
        <f>F47/F9</f>
        <v>-3.5237725093924081E-2</v>
      </c>
      <c r="BD47" s="43">
        <f t="shared" ref="BD47:BL47" si="61">BC47</f>
        <v>-3.5237725093924081E-2</v>
      </c>
      <c r="BE47" s="43">
        <f t="shared" si="61"/>
        <v>-3.5237725093924081E-2</v>
      </c>
      <c r="BF47" s="43">
        <f t="shared" si="61"/>
        <v>-3.5237725093924081E-2</v>
      </c>
      <c r="BG47" s="43">
        <f t="shared" si="61"/>
        <v>-3.5237725093924081E-2</v>
      </c>
      <c r="BH47" s="43">
        <f t="shared" si="61"/>
        <v>-3.5237725093924081E-2</v>
      </c>
      <c r="BI47" s="43">
        <f t="shared" si="61"/>
        <v>-3.5237725093924081E-2</v>
      </c>
      <c r="BJ47" s="43">
        <f t="shared" si="61"/>
        <v>-3.5237725093924081E-2</v>
      </c>
      <c r="BK47" s="43">
        <f t="shared" si="61"/>
        <v>-3.5237725093924081E-2</v>
      </c>
      <c r="BL47" s="43">
        <f t="shared" si="61"/>
        <v>-3.5237725093924081E-2</v>
      </c>
    </row>
    <row r="48" spans="3:64">
      <c r="D48" s="48">
        <f t="shared" ref="D48:P48" si="62">D47/D9</f>
        <v>-4.5478513050355919E-2</v>
      </c>
      <c r="E48" s="48">
        <f t="shared" si="62"/>
        <v>-4.1036998436685776E-2</v>
      </c>
      <c r="F48" s="48">
        <f t="shared" si="62"/>
        <v>-3.5237725093924081E-2</v>
      </c>
      <c r="G48" s="48">
        <f t="shared" si="62"/>
        <v>-3.5237725093924081E-2</v>
      </c>
      <c r="H48" s="48">
        <f t="shared" si="62"/>
        <v>-3.5237725093924081E-2</v>
      </c>
      <c r="I48" s="48">
        <f t="shared" si="62"/>
        <v>-3.5237725093924081E-2</v>
      </c>
      <c r="J48" s="48">
        <f t="shared" si="62"/>
        <v>-3.5237725093924081E-2</v>
      </c>
      <c r="K48" s="48">
        <f t="shared" si="62"/>
        <v>-3.5237725093924081E-2</v>
      </c>
      <c r="L48" s="48">
        <f t="shared" si="62"/>
        <v>-3.5237725093924081E-2</v>
      </c>
      <c r="M48" s="48">
        <f t="shared" si="62"/>
        <v>-3.5237725093924081E-2</v>
      </c>
      <c r="N48" s="48">
        <f t="shared" si="62"/>
        <v>-3.5237725093924081E-2</v>
      </c>
      <c r="O48" s="48">
        <f t="shared" si="62"/>
        <v>-3.5237725093924081E-2</v>
      </c>
      <c r="P48" s="48">
        <f t="shared" si="62"/>
        <v>-3.5237725093924081E-2</v>
      </c>
    </row>
    <row r="50" spans="3:64">
      <c r="C50" t="s">
        <v>168</v>
      </c>
      <c r="D50" t="s">
        <v>96</v>
      </c>
      <c r="E50" t="s">
        <v>96</v>
      </c>
      <c r="F50" t="s">
        <v>96</v>
      </c>
      <c r="G50" s="41">
        <f t="shared" ref="G50:P50" si="63">G44*S50</f>
        <v>0</v>
      </c>
      <c r="H50" s="41">
        <f t="shared" si="63"/>
        <v>0</v>
      </c>
      <c r="I50" s="41">
        <f t="shared" si="63"/>
        <v>0</v>
      </c>
      <c r="J50" s="41">
        <f t="shared" si="63"/>
        <v>0</v>
      </c>
      <c r="K50" s="41">
        <f t="shared" si="63"/>
        <v>0</v>
      </c>
      <c r="L50" s="41">
        <f t="shared" si="63"/>
        <v>0</v>
      </c>
      <c r="M50" s="41">
        <f t="shared" si="63"/>
        <v>0</v>
      </c>
      <c r="N50" s="41">
        <f t="shared" si="63"/>
        <v>0</v>
      </c>
      <c r="O50" s="41">
        <f t="shared" si="63"/>
        <v>0</v>
      </c>
      <c r="P50" s="41">
        <f t="shared" si="63"/>
        <v>0</v>
      </c>
      <c r="R50" t="str">
        <f>C50</f>
        <v>Divident Payout</v>
      </c>
      <c r="S50" s="44">
        <f>IF(T2=1,AE50,IF(T2=2,AQ50,BC50))</f>
        <v>0</v>
      </c>
      <c r="T50" s="44">
        <f>IF(T2=1,AF50,IF(T2=2,AR50,BD50))</f>
        <v>0</v>
      </c>
      <c r="U50" s="44">
        <f>IF(T2=1,AG50,IF(T2=2,AS50,BE50))</f>
        <v>0</v>
      </c>
      <c r="V50" s="44">
        <f>IF(T2=1,AH50,IF(T2=2,AT50,BF50))</f>
        <v>0</v>
      </c>
      <c r="W50" s="44">
        <f>IF(T2=1,AI50,IF(T2=2,AU50,BG50))</f>
        <v>0</v>
      </c>
      <c r="X50" s="44">
        <f>IF(T2=1,AJ50,IF(T2=2,AV50,BH50))</f>
        <v>0</v>
      </c>
      <c r="Y50" s="44">
        <f>IF(T2=1,AK50,IF(T2=2,AW50,BI50))</f>
        <v>0</v>
      </c>
      <c r="Z50" s="44">
        <f>IF(T2=1,AL50,IF(T2=2,AX50,BJ50))</f>
        <v>0</v>
      </c>
      <c r="AA50" s="44">
        <f>IF(T2=1,AM50,IF(T2=2,AY50,BK50))</f>
        <v>0</v>
      </c>
      <c r="AB50" s="44">
        <f>IF(T2=1,AN50,IF(T2=2,AZ50,BL50))</f>
        <v>0</v>
      </c>
      <c r="AD50" t="str">
        <f>C50</f>
        <v>Divident Payout</v>
      </c>
      <c r="AE50" s="45">
        <v>0</v>
      </c>
      <c r="AF50" s="43">
        <f t="shared" ref="AF50:AN50" si="64">AE50</f>
        <v>0</v>
      </c>
      <c r="AG50" s="43">
        <f t="shared" si="64"/>
        <v>0</v>
      </c>
      <c r="AH50" s="43">
        <f t="shared" si="64"/>
        <v>0</v>
      </c>
      <c r="AI50" s="43">
        <f t="shared" si="64"/>
        <v>0</v>
      </c>
      <c r="AJ50" s="43">
        <f t="shared" si="64"/>
        <v>0</v>
      </c>
      <c r="AK50" s="43">
        <f t="shared" si="64"/>
        <v>0</v>
      </c>
      <c r="AL50" s="43">
        <f t="shared" si="64"/>
        <v>0</v>
      </c>
      <c r="AM50" s="43">
        <f t="shared" si="64"/>
        <v>0</v>
      </c>
      <c r="AN50" s="43">
        <f t="shared" si="64"/>
        <v>0</v>
      </c>
      <c r="AP50" t="str">
        <f>C50</f>
        <v>Divident Payout</v>
      </c>
      <c r="AQ50" s="45">
        <v>0</v>
      </c>
      <c r="AR50" s="43">
        <f t="shared" ref="AR50:AZ50" si="65">AQ50</f>
        <v>0</v>
      </c>
      <c r="AS50" s="43">
        <f t="shared" si="65"/>
        <v>0</v>
      </c>
      <c r="AT50" s="43">
        <f t="shared" si="65"/>
        <v>0</v>
      </c>
      <c r="AU50" s="43">
        <f t="shared" si="65"/>
        <v>0</v>
      </c>
      <c r="AV50" s="43">
        <f t="shared" si="65"/>
        <v>0</v>
      </c>
      <c r="AW50" s="43">
        <f t="shared" si="65"/>
        <v>0</v>
      </c>
      <c r="AX50" s="43">
        <f t="shared" si="65"/>
        <v>0</v>
      </c>
      <c r="AY50" s="43">
        <f t="shared" si="65"/>
        <v>0</v>
      </c>
      <c r="AZ50" s="43">
        <f t="shared" si="65"/>
        <v>0</v>
      </c>
      <c r="BB50" t="str">
        <f>C50</f>
        <v>Divident Payout</v>
      </c>
      <c r="BC50" s="45">
        <v>0</v>
      </c>
      <c r="BD50" s="43">
        <f t="shared" ref="BD50:BL50" si="66">BC50</f>
        <v>0</v>
      </c>
      <c r="BE50" s="43">
        <f t="shared" si="66"/>
        <v>0</v>
      </c>
      <c r="BF50" s="43">
        <f t="shared" si="66"/>
        <v>0</v>
      </c>
      <c r="BG50" s="43">
        <f t="shared" si="66"/>
        <v>0</v>
      </c>
      <c r="BH50" s="43">
        <f t="shared" si="66"/>
        <v>0</v>
      </c>
      <c r="BI50" s="43">
        <f t="shared" si="66"/>
        <v>0</v>
      </c>
      <c r="BJ50" s="43">
        <f t="shared" si="66"/>
        <v>0</v>
      </c>
      <c r="BK50" s="43">
        <f t="shared" si="66"/>
        <v>0</v>
      </c>
      <c r="BL50" s="43">
        <f t="shared" si="66"/>
        <v>0</v>
      </c>
    </row>
  </sheetData>
  <pageMargins left="0.7" right="0.7" top="0.75" bottom="0.75" header="0.3" footer="0.3"/>
  <pageSetup scale="57" orientation="landscape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51"/>
  <sheetViews>
    <sheetView view="pageBreakPreview" workbookViewId="0"/>
  </sheetViews>
  <sheetFormatPr defaultRowHeight="15"/>
  <cols>
    <col min="3" max="3" width="40" customWidth="1"/>
    <col min="4" max="15" width="14" customWidth="1"/>
  </cols>
  <sheetData>
    <row r="3" spans="1:15">
      <c r="C3" s="36" t="s">
        <v>169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5" ht="3" customHeight="1">
      <c r="A4" t="s">
        <v>148</v>
      </c>
    </row>
    <row r="5" spans="1:15">
      <c r="D5" s="52">
        <v>2016</v>
      </c>
      <c r="E5" s="52">
        <f t="shared" ref="E5:O5" si="0">D5+1</f>
        <v>2017</v>
      </c>
      <c r="F5" s="162">
        <f t="shared" si="0"/>
        <v>2018</v>
      </c>
      <c r="G5" s="162">
        <f t="shared" si="0"/>
        <v>2019</v>
      </c>
      <c r="H5" s="162">
        <f t="shared" si="0"/>
        <v>2020</v>
      </c>
      <c r="I5" s="162">
        <f t="shared" si="0"/>
        <v>2021</v>
      </c>
      <c r="J5" s="162">
        <f t="shared" si="0"/>
        <v>2022</v>
      </c>
      <c r="K5" s="162">
        <f t="shared" si="0"/>
        <v>2023</v>
      </c>
      <c r="L5" s="162">
        <f t="shared" si="0"/>
        <v>2024</v>
      </c>
      <c r="M5" s="162">
        <f t="shared" si="0"/>
        <v>2025</v>
      </c>
      <c r="N5" s="162">
        <f t="shared" si="0"/>
        <v>2026</v>
      </c>
      <c r="O5" s="162">
        <f t="shared" si="0"/>
        <v>2027</v>
      </c>
    </row>
    <row r="6" spans="1:15" ht="3" customHeight="1">
      <c r="A6" t="s">
        <v>148</v>
      </c>
    </row>
    <row r="7" spans="1:15">
      <c r="C7" t="s">
        <v>112</v>
      </c>
    </row>
    <row r="8" spans="1:15">
      <c r="C8" s="40" t="s">
        <v>170</v>
      </c>
      <c r="D8" s="42">
        <v>254</v>
      </c>
      <c r="E8" s="42">
        <v>484</v>
      </c>
      <c r="F8" s="82" t="s">
        <v>96</v>
      </c>
      <c r="G8" s="82" t="s">
        <v>96</v>
      </c>
      <c r="H8" s="82" t="s">
        <v>96</v>
      </c>
      <c r="I8" s="82" t="s">
        <v>96</v>
      </c>
      <c r="J8" s="82" t="s">
        <v>96</v>
      </c>
      <c r="K8" s="82" t="s">
        <v>96</v>
      </c>
      <c r="L8" s="82" t="s">
        <v>96</v>
      </c>
      <c r="M8" s="82" t="s">
        <v>96</v>
      </c>
      <c r="N8" s="82" t="s">
        <v>96</v>
      </c>
      <c r="O8" s="82" t="s">
        <v>96</v>
      </c>
    </row>
    <row r="9" spans="1:15">
      <c r="C9" t="s">
        <v>171</v>
      </c>
      <c r="D9" s="46">
        <f>SUM(D8:D8)</f>
        <v>254</v>
      </c>
      <c r="E9" s="46">
        <f>SUM(E8:E8)</f>
        <v>484</v>
      </c>
      <c r="F9" s="163">
        <f>CashFlow!F76</f>
        <v>0</v>
      </c>
      <c r="G9" s="163">
        <f>CashFlow!G76</f>
        <v>0</v>
      </c>
      <c r="H9" s="163">
        <f>CashFlow!H76</f>
        <v>26.320255428409837</v>
      </c>
      <c r="I9" s="163">
        <f>CashFlow!I76</f>
        <v>911.58681773168837</v>
      </c>
      <c r="J9" s="163">
        <f>CashFlow!J76</f>
        <v>1801.8125335236375</v>
      </c>
      <c r="K9" s="163">
        <f>CashFlow!K76</f>
        <v>2697.0251833670527</v>
      </c>
      <c r="L9" s="163">
        <f>CashFlow!L76</f>
        <v>3597.2527034479972</v>
      </c>
      <c r="M9" s="163">
        <f>CashFlow!M76</f>
        <v>4502.5231864475809</v>
      </c>
      <c r="N9" s="163">
        <f>CashFlow!N76</f>
        <v>5412.8648824186321</v>
      </c>
      <c r="O9" s="163">
        <f>CashFlow!O76</f>
        <v>6328.3061996672695</v>
      </c>
    </row>
    <row r="11" spans="1:15">
      <c r="C11" t="s">
        <v>113</v>
      </c>
    </row>
    <row r="12" spans="1:15">
      <c r="C12" s="40" t="s">
        <v>172</v>
      </c>
      <c r="D12" s="42">
        <v>512</v>
      </c>
      <c r="E12" s="42">
        <v>560</v>
      </c>
      <c r="F12" s="58">
        <f>'Working Capital'!F11</f>
        <v>563.13705054716002</v>
      </c>
      <c r="G12" s="58">
        <f>'Working Capital'!G11</f>
        <v>566.29167446241888</v>
      </c>
      <c r="H12" s="58">
        <f>'Working Capital'!H11</f>
        <v>569.46397018960533</v>
      </c>
      <c r="I12" s="58">
        <f>'Working Capital'!I11</f>
        <v>572.65403672401817</v>
      </c>
      <c r="J12" s="58">
        <f>'Working Capital'!J11</f>
        <v>575.86197361551535</v>
      </c>
      <c r="K12" s="58">
        <f>'Working Capital'!K11</f>
        <v>579.08788097162096</v>
      </c>
      <c r="L12" s="58">
        <f>'Working Capital'!L11</f>
        <v>582.33185946064896</v>
      </c>
      <c r="M12" s="58">
        <f>'Working Capital'!M11</f>
        <v>585.59401031484481</v>
      </c>
      <c r="N12" s="58">
        <f>'Working Capital'!N11</f>
        <v>588.8744353335444</v>
      </c>
      <c r="O12" s="58">
        <f>'Working Capital'!O11</f>
        <v>592.17323688635076</v>
      </c>
    </row>
    <row r="13" spans="1:15">
      <c r="C13" s="40" t="s">
        <v>173</v>
      </c>
      <c r="D13" s="50">
        <v>724</v>
      </c>
      <c r="E13" s="50">
        <v>767</v>
      </c>
      <c r="F13" s="62">
        <f>'Working Capital'!F12</f>
        <v>771.29663887441359</v>
      </c>
      <c r="G13" s="62">
        <f>'Working Capital'!G12</f>
        <v>775.6173469869201</v>
      </c>
      <c r="H13" s="62">
        <f>'Working Capital'!H12</f>
        <v>779.96225917040579</v>
      </c>
      <c r="I13" s="62">
        <f>'Working Capital'!I12</f>
        <v>784.33151101307476</v>
      </c>
      <c r="J13" s="62">
        <f>'Working Capital'!J12</f>
        <v>788.72523886267902</v>
      </c>
      <c r="K13" s="62">
        <f>'Working Capital'!K12</f>
        <v>793.14357983077377</v>
      </c>
      <c r="L13" s="62">
        <f>'Working Capital'!L12</f>
        <v>797.58667179699603</v>
      </c>
      <c r="M13" s="62">
        <f>'Working Capital'!M12</f>
        <v>802.05465341336776</v>
      </c>
      <c r="N13" s="62">
        <f>'Working Capital'!N12</f>
        <v>806.54766410862237</v>
      </c>
      <c r="O13" s="62">
        <f>'Working Capital'!O12</f>
        <v>811.06584409255538</v>
      </c>
    </row>
    <row r="14" spans="1:15">
      <c r="C14" s="40" t="s">
        <v>174</v>
      </c>
      <c r="D14" s="50">
        <v>197</v>
      </c>
      <c r="E14" s="50">
        <v>152</v>
      </c>
      <c r="F14" s="62">
        <f>'Working Capital'!F13</f>
        <v>152.85148514851485</v>
      </c>
      <c r="G14" s="62">
        <f>'Working Capital'!G13</f>
        <v>153.70774021122799</v>
      </c>
      <c r="H14" s="62">
        <f>'Working Capital'!H13</f>
        <v>154.56879190860718</v>
      </c>
      <c r="I14" s="62">
        <f>'Working Capital'!I13</f>
        <v>155.43466711080492</v>
      </c>
      <c r="J14" s="62">
        <f>'Working Capital'!J13</f>
        <v>156.30539283849703</v>
      </c>
      <c r="K14" s="62">
        <f>'Working Capital'!K13</f>
        <v>157.18099626372569</v>
      </c>
      <c r="L14" s="62">
        <f>'Working Capital'!L13</f>
        <v>158.06150471074758</v>
      </c>
      <c r="M14" s="62">
        <f>'Working Capital'!M13</f>
        <v>158.94694565688644</v>
      </c>
      <c r="N14" s="62">
        <f>'Working Capital'!N13</f>
        <v>159.83734673339063</v>
      </c>
      <c r="O14" s="62">
        <f>'Working Capital'!O13</f>
        <v>160.7327357262952</v>
      </c>
    </row>
    <row r="15" spans="1:15">
      <c r="C15" t="s">
        <v>175</v>
      </c>
      <c r="D15" s="46">
        <f t="shared" ref="D15:O15" si="1">SUM(D12:D14)</f>
        <v>1433</v>
      </c>
      <c r="E15" s="46">
        <f t="shared" si="1"/>
        <v>1479</v>
      </c>
      <c r="F15" s="46">
        <f t="shared" si="1"/>
        <v>1487.2851745700884</v>
      </c>
      <c r="G15" s="46">
        <f t="shared" si="1"/>
        <v>1495.6167616605669</v>
      </c>
      <c r="H15" s="46">
        <f t="shared" si="1"/>
        <v>1503.9950212686183</v>
      </c>
      <c r="I15" s="46">
        <f t="shared" si="1"/>
        <v>1512.4202148478978</v>
      </c>
      <c r="J15" s="46">
        <f t="shared" si="1"/>
        <v>1520.8926053166915</v>
      </c>
      <c r="K15" s="46">
        <f t="shared" si="1"/>
        <v>1529.4124570661206</v>
      </c>
      <c r="L15" s="46">
        <f t="shared" si="1"/>
        <v>1537.9800359683927</v>
      </c>
      <c r="M15" s="46">
        <f t="shared" si="1"/>
        <v>1546.5956093850991</v>
      </c>
      <c r="N15" s="46">
        <f t="shared" si="1"/>
        <v>1555.2594461755573</v>
      </c>
      <c r="O15" s="46">
        <f t="shared" si="1"/>
        <v>1563.9718167052015</v>
      </c>
    </row>
    <row r="17" spans="3:15">
      <c r="C17" t="s">
        <v>114</v>
      </c>
    </row>
    <row r="18" spans="3:15">
      <c r="C18" s="40" t="s">
        <v>176</v>
      </c>
      <c r="D18" s="42">
        <v>2051</v>
      </c>
      <c r="E18" s="42">
        <v>2103</v>
      </c>
      <c r="F18" s="58">
        <f>CashFlow!F81</f>
        <v>2107.0224075039082</v>
      </c>
      <c r="G18" s="58">
        <f>CashFlow!G81</f>
        <v>2111.0673480357827</v>
      </c>
      <c r="H18" s="58">
        <f>CashFlow!H81</f>
        <v>2115.1349478228512</v>
      </c>
      <c r="I18" s="58">
        <f>CashFlow!I81</f>
        <v>2119.2253337994516</v>
      </c>
      <c r="J18" s="58">
        <f>CashFlow!J81</f>
        <v>2123.3386336109911</v>
      </c>
      <c r="K18" s="58">
        <f>CashFlow!K81</f>
        <v>2127.4749756179312</v>
      </c>
      <c r="L18" s="58">
        <f>CashFlow!L81</f>
        <v>2131.6344888997928</v>
      </c>
      <c r="M18" s="58">
        <f>CashFlow!M81</f>
        <v>2135.8173032591844</v>
      </c>
      <c r="N18" s="58">
        <f>CashFlow!N81</f>
        <v>2140.0235492258525</v>
      </c>
      <c r="O18" s="58">
        <f>CashFlow!O81</f>
        <v>2144.2533580607551</v>
      </c>
    </row>
    <row r="19" spans="3:15">
      <c r="C19" s="40" t="s">
        <v>177</v>
      </c>
      <c r="D19" s="50">
        <v>1919</v>
      </c>
      <c r="E19" s="50">
        <v>2133</v>
      </c>
      <c r="F19" s="62">
        <f>CashFlow!F82</f>
        <v>2133</v>
      </c>
      <c r="G19" s="62">
        <f>CashFlow!G82</f>
        <v>2133</v>
      </c>
      <c r="H19" s="62">
        <f>CashFlow!H82</f>
        <v>2133</v>
      </c>
      <c r="I19" s="62">
        <f>CashFlow!I82</f>
        <v>2133</v>
      </c>
      <c r="J19" s="62">
        <f>CashFlow!J82</f>
        <v>2133</v>
      </c>
      <c r="K19" s="62">
        <f>CashFlow!K82</f>
        <v>2133</v>
      </c>
      <c r="L19" s="62">
        <f>CashFlow!L82</f>
        <v>2133</v>
      </c>
      <c r="M19" s="62">
        <f>CashFlow!M82</f>
        <v>2133</v>
      </c>
      <c r="N19" s="62">
        <f>CashFlow!N82</f>
        <v>2133</v>
      </c>
      <c r="O19" s="62">
        <f>CashFlow!O82</f>
        <v>2133</v>
      </c>
    </row>
    <row r="20" spans="3:15">
      <c r="C20" s="40" t="s">
        <v>178</v>
      </c>
      <c r="D20" s="50">
        <v>509</v>
      </c>
      <c r="E20" s="50">
        <v>527</v>
      </c>
      <c r="F20" s="62">
        <f>CashFlow!F83</f>
        <v>527</v>
      </c>
      <c r="G20" s="62">
        <f>CashFlow!G83</f>
        <v>527</v>
      </c>
      <c r="H20" s="62">
        <f>CashFlow!H83</f>
        <v>527</v>
      </c>
      <c r="I20" s="62">
        <f>CashFlow!I83</f>
        <v>527</v>
      </c>
      <c r="J20" s="62">
        <f>CashFlow!J83</f>
        <v>527</v>
      </c>
      <c r="K20" s="62">
        <f>CashFlow!K83</f>
        <v>527</v>
      </c>
      <c r="L20" s="62">
        <f>CashFlow!L83</f>
        <v>527</v>
      </c>
      <c r="M20" s="62">
        <f>CashFlow!M83</f>
        <v>527</v>
      </c>
      <c r="N20" s="62">
        <f>CashFlow!N83</f>
        <v>527</v>
      </c>
      <c r="O20" s="62">
        <f>CashFlow!O83</f>
        <v>527</v>
      </c>
    </row>
    <row r="21" spans="3:15">
      <c r="C21" s="40" t="s">
        <v>179</v>
      </c>
      <c r="D21" s="50">
        <v>110</v>
      </c>
      <c r="E21" s="50">
        <v>136</v>
      </c>
      <c r="F21" s="62">
        <f>CashFlow!F84</f>
        <v>136</v>
      </c>
      <c r="G21" s="62">
        <f>CashFlow!G84</f>
        <v>136</v>
      </c>
      <c r="H21" s="62">
        <f>CashFlow!H84</f>
        <v>136</v>
      </c>
      <c r="I21" s="62">
        <f>CashFlow!I84</f>
        <v>136</v>
      </c>
      <c r="J21" s="62">
        <f>CashFlow!J84</f>
        <v>136</v>
      </c>
      <c r="K21" s="62">
        <f>CashFlow!K84</f>
        <v>136</v>
      </c>
      <c r="L21" s="62">
        <f>CashFlow!L84</f>
        <v>136</v>
      </c>
      <c r="M21" s="62">
        <f>CashFlow!M84</f>
        <v>136</v>
      </c>
      <c r="N21" s="62">
        <f>CashFlow!N84</f>
        <v>136</v>
      </c>
      <c r="O21" s="62">
        <f>CashFlow!O84</f>
        <v>136</v>
      </c>
    </row>
    <row r="22" spans="3:15">
      <c r="C22" t="s">
        <v>180</v>
      </c>
      <c r="D22" s="46">
        <f t="shared" ref="D22:O22" si="2">SUM(D18:D21)</f>
        <v>4589</v>
      </c>
      <c r="E22" s="46">
        <f t="shared" si="2"/>
        <v>4899</v>
      </c>
      <c r="F22" s="46">
        <f t="shared" si="2"/>
        <v>4903.0224075039077</v>
      </c>
      <c r="G22" s="46">
        <f t="shared" si="2"/>
        <v>4907.0673480357827</v>
      </c>
      <c r="H22" s="46">
        <f t="shared" si="2"/>
        <v>4911.1349478228512</v>
      </c>
      <c r="I22" s="46">
        <f t="shared" si="2"/>
        <v>4915.2253337994516</v>
      </c>
      <c r="J22" s="46">
        <f t="shared" si="2"/>
        <v>4919.3386336109907</v>
      </c>
      <c r="K22" s="46">
        <f t="shared" si="2"/>
        <v>4923.4749756179317</v>
      </c>
      <c r="L22" s="46">
        <f t="shared" si="2"/>
        <v>4927.6344888997928</v>
      </c>
      <c r="M22" s="46">
        <f t="shared" si="2"/>
        <v>4931.817303259184</v>
      </c>
      <c r="N22" s="46">
        <f t="shared" si="2"/>
        <v>4936.0235492258525</v>
      </c>
      <c r="O22" s="46">
        <f t="shared" si="2"/>
        <v>4940.2533580607551</v>
      </c>
    </row>
    <row r="24" spans="3:15">
      <c r="C24" t="s">
        <v>116</v>
      </c>
      <c r="D24" s="54">
        <f>D9+D15+D22</f>
        <v>6276</v>
      </c>
      <c r="E24" s="54">
        <f>E9+E15+E22</f>
        <v>6862</v>
      </c>
      <c r="F24" s="54">
        <f t="shared" ref="F24:O24" si="3">F22+F9+F15</f>
        <v>6390.3075820739959</v>
      </c>
      <c r="G24" s="54">
        <f t="shared" si="3"/>
        <v>6402.6841096963499</v>
      </c>
      <c r="H24" s="54">
        <f t="shared" si="3"/>
        <v>6441.4502245198792</v>
      </c>
      <c r="I24" s="54">
        <f t="shared" si="3"/>
        <v>7339.2323663790376</v>
      </c>
      <c r="J24" s="54">
        <f t="shared" si="3"/>
        <v>8242.0437724513195</v>
      </c>
      <c r="K24" s="54">
        <f t="shared" si="3"/>
        <v>9149.9126160511041</v>
      </c>
      <c r="L24" s="54">
        <f t="shared" si="3"/>
        <v>10062.867228316181</v>
      </c>
      <c r="M24" s="54">
        <f t="shared" si="3"/>
        <v>10980.936099091865</v>
      </c>
      <c r="N24" s="54">
        <f t="shared" si="3"/>
        <v>11904.147877820044</v>
      </c>
      <c r="O24" s="54">
        <f t="shared" si="3"/>
        <v>12832.531374433227</v>
      </c>
    </row>
    <row r="26" spans="3:15">
      <c r="C26" t="s">
        <v>181</v>
      </c>
    </row>
    <row r="27" spans="3:15">
      <c r="C27" s="40" t="s">
        <v>182</v>
      </c>
      <c r="D27" s="42">
        <v>545</v>
      </c>
      <c r="E27" s="42">
        <v>585</v>
      </c>
      <c r="F27" s="58">
        <f>'Working Capital'!F17</f>
        <v>588.27709744658659</v>
      </c>
      <c r="G27" s="58">
        <f>'Working Capital'!G17</f>
        <v>591.57255278663388</v>
      </c>
      <c r="H27" s="58">
        <f>'Working Capital'!H17</f>
        <v>594.88646885878416</v>
      </c>
      <c r="I27" s="58">
        <f>'Working Capital'!I17</f>
        <v>598.2189490777688</v>
      </c>
      <c r="J27" s="58">
        <f>'Working Capital'!J17</f>
        <v>601.57009743763649</v>
      </c>
      <c r="K27" s="58">
        <f>'Working Capital'!K17</f>
        <v>604.94001851499684</v>
      </c>
      <c r="L27" s="58">
        <f>'Working Capital'!L17</f>
        <v>608.32881747228498</v>
      </c>
      <c r="M27" s="58">
        <f>'Working Capital'!M17</f>
        <v>611.73660006104319</v>
      </c>
      <c r="N27" s="58">
        <f>'Working Capital'!N17</f>
        <v>615.16347262522038</v>
      </c>
      <c r="O27" s="58">
        <f>'Working Capital'!O17</f>
        <v>618.60954210449131</v>
      </c>
    </row>
    <row r="28" spans="3:15">
      <c r="C28" s="40" t="s">
        <v>183</v>
      </c>
      <c r="D28" s="50">
        <v>560</v>
      </c>
      <c r="E28" s="50">
        <v>619</v>
      </c>
      <c r="F28" s="62">
        <f>'Working Capital'!F18</f>
        <v>622.46756122980719</v>
      </c>
      <c r="G28" s="62">
        <f>'Working Capital'!G18</f>
        <v>625.9545473075666</v>
      </c>
      <c r="H28" s="62">
        <f>'Working Capital'!H18</f>
        <v>629.46106704886733</v>
      </c>
      <c r="I28" s="62">
        <f>'Working Capital'!I18</f>
        <v>632.98722987887004</v>
      </c>
      <c r="J28" s="62">
        <f>'Working Capital'!J18</f>
        <v>636.53314583572137</v>
      </c>
      <c r="K28" s="62">
        <f>'Working Capital'!K18</f>
        <v>640.09892557398814</v>
      </c>
      <c r="L28" s="62">
        <f>'Working Capital'!L18</f>
        <v>643.68468036811021</v>
      </c>
      <c r="M28" s="62">
        <f>'Working Capital'!M18</f>
        <v>647.29052211587305</v>
      </c>
      <c r="N28" s="62">
        <f>'Working Capital'!N18</f>
        <v>650.91656334189997</v>
      </c>
      <c r="O28" s="62">
        <f>'Working Capital'!O18</f>
        <v>654.56291720116269</v>
      </c>
    </row>
    <row r="29" spans="3:15">
      <c r="C29" s="40" t="s">
        <v>184</v>
      </c>
      <c r="D29" s="50">
        <v>95</v>
      </c>
      <c r="E29" s="50">
        <v>95</v>
      </c>
      <c r="F29" s="62">
        <f>'Working Capital'!F19</f>
        <v>95.53217821782178</v>
      </c>
      <c r="G29" s="62">
        <f>'Working Capital'!G19</f>
        <v>96.067337632017484</v>
      </c>
      <c r="H29" s="62">
        <f>'Working Capital'!H19</f>
        <v>96.605494942879488</v>
      </c>
      <c r="I29" s="62">
        <f>'Working Capital'!I19</f>
        <v>97.146666944253084</v>
      </c>
      <c r="J29" s="62">
        <f>'Working Capital'!J19</f>
        <v>97.690870524060628</v>
      </c>
      <c r="K29" s="62">
        <f>'Working Capital'!K19</f>
        <v>98.238122664828552</v>
      </c>
      <c r="L29" s="62">
        <f>'Working Capital'!L19</f>
        <v>98.78844044421723</v>
      </c>
      <c r="M29" s="62">
        <f>'Working Capital'!M19</f>
        <v>99.341841035554026</v>
      </c>
      <c r="N29" s="62">
        <f>'Working Capital'!N19</f>
        <v>99.898341708369131</v>
      </c>
      <c r="O29" s="62">
        <f>'Working Capital'!O19</f>
        <v>100.45795982893449</v>
      </c>
    </row>
    <row r="30" spans="3:15">
      <c r="C30" s="40" t="s">
        <v>185</v>
      </c>
      <c r="D30" s="50">
        <v>30</v>
      </c>
      <c r="E30" s="50">
        <v>33</v>
      </c>
      <c r="F30" s="62">
        <f>'Working Capital'!F20</f>
        <v>33.184861907243359</v>
      </c>
      <c r="G30" s="62">
        <f>'Working Capital'!G20</f>
        <v>33.370759387963972</v>
      </c>
      <c r="H30" s="62">
        <f>'Working Capital'!H20</f>
        <v>33.557698243316032</v>
      </c>
      <c r="I30" s="62">
        <f>'Working Capital'!I20</f>
        <v>33.74568430695107</v>
      </c>
      <c r="J30" s="62">
        <f>'Working Capital'!J20</f>
        <v>33.934723445200014</v>
      </c>
      <c r="K30" s="62">
        <f>'Working Capital'!K20</f>
        <v>34.124821557256233</v>
      </c>
      <c r="L30" s="62">
        <f>'Working Capital'!L20</f>
        <v>34.315984575359671</v>
      </c>
      <c r="M30" s="62">
        <f>'Working Capital'!M20</f>
        <v>34.50821846498193</v>
      </c>
      <c r="N30" s="62">
        <f>'Working Capital'!N20</f>
        <v>34.701529225012436</v>
      </c>
      <c r="O30" s="62">
        <f>'Working Capital'!O20</f>
        <v>34.895922887945673</v>
      </c>
    </row>
    <row r="31" spans="3:15">
      <c r="C31" t="s">
        <v>186</v>
      </c>
      <c r="D31" s="46">
        <f t="shared" ref="D31:O31" si="4">SUM(D27:D30)</f>
        <v>1230</v>
      </c>
      <c r="E31" s="46">
        <f t="shared" si="4"/>
        <v>1332</v>
      </c>
      <c r="F31" s="46">
        <f t="shared" si="4"/>
        <v>1339.4616988014591</v>
      </c>
      <c r="G31" s="46">
        <f t="shared" si="4"/>
        <v>1346.965197114182</v>
      </c>
      <c r="H31" s="46">
        <f t="shared" si="4"/>
        <v>1354.510729093847</v>
      </c>
      <c r="I31" s="46">
        <f t="shared" si="4"/>
        <v>1362.0985302078429</v>
      </c>
      <c r="J31" s="46">
        <f t="shared" si="4"/>
        <v>1369.7288372426183</v>
      </c>
      <c r="K31" s="46">
        <f t="shared" si="4"/>
        <v>1377.4018883110696</v>
      </c>
      <c r="L31" s="46">
        <f t="shared" si="4"/>
        <v>1385.1179228599722</v>
      </c>
      <c r="M31" s="46">
        <f t="shared" si="4"/>
        <v>1392.8771816774522</v>
      </c>
      <c r="N31" s="46">
        <f t="shared" si="4"/>
        <v>1400.6799069005017</v>
      </c>
      <c r="O31" s="46">
        <f t="shared" si="4"/>
        <v>1408.5263420225342</v>
      </c>
    </row>
    <row r="33" spans="3:15">
      <c r="C33" t="s">
        <v>119</v>
      </c>
    </row>
    <row r="34" spans="3:15">
      <c r="C34" s="40" t="s">
        <v>187</v>
      </c>
      <c r="D34" s="42">
        <v>835</v>
      </c>
      <c r="E34" s="42">
        <v>657</v>
      </c>
      <c r="F34" s="58">
        <f>CashFlow!F94</f>
        <v>0</v>
      </c>
      <c r="G34" s="58">
        <f>CashFlow!G94</f>
        <v>0</v>
      </c>
      <c r="H34" s="58">
        <f>CashFlow!H94</f>
        <v>0</v>
      </c>
      <c r="I34" s="58">
        <f>CashFlow!I94</f>
        <v>0</v>
      </c>
      <c r="J34" s="58">
        <f>CashFlow!J94</f>
        <v>0</v>
      </c>
      <c r="K34" s="58">
        <f>CashFlow!K94</f>
        <v>0</v>
      </c>
      <c r="L34" s="58">
        <f>CashFlow!L94</f>
        <v>0</v>
      </c>
      <c r="M34" s="58">
        <f>CashFlow!M94</f>
        <v>0</v>
      </c>
      <c r="N34" s="58">
        <f>CashFlow!N94</f>
        <v>0</v>
      </c>
      <c r="O34" s="58">
        <f>CashFlow!O94</f>
        <v>0</v>
      </c>
    </row>
    <row r="35" spans="3:15">
      <c r="C35" s="40" t="s">
        <v>188</v>
      </c>
      <c r="D35" s="50">
        <v>1945</v>
      </c>
      <c r="E35" s="50">
        <v>2427</v>
      </c>
      <c r="F35" s="62">
        <f>CashFlow!F95</f>
        <v>1729.4457580437015</v>
      </c>
      <c r="G35" s="62">
        <f>CashFlow!G95</f>
        <v>854.01477919265085</v>
      </c>
      <c r="H35" s="62">
        <f>CashFlow!H95</f>
        <v>0</v>
      </c>
      <c r="I35" s="62">
        <f>CashFlow!I95</f>
        <v>0</v>
      </c>
      <c r="J35" s="62">
        <f>CashFlow!J95</f>
        <v>0</v>
      </c>
      <c r="K35" s="62">
        <f>CashFlow!K95</f>
        <v>0</v>
      </c>
      <c r="L35" s="62">
        <f>CashFlow!L95</f>
        <v>0</v>
      </c>
      <c r="M35" s="62">
        <f>CashFlow!M95</f>
        <v>0</v>
      </c>
      <c r="N35" s="62">
        <f>CashFlow!N95</f>
        <v>0</v>
      </c>
      <c r="O35" s="62">
        <f>CashFlow!O95</f>
        <v>0</v>
      </c>
    </row>
    <row r="36" spans="3:15">
      <c r="C36" t="s">
        <v>189</v>
      </c>
      <c r="D36" s="46">
        <f t="shared" ref="D36:O36" si="5">SUM(D34:D35)</f>
        <v>2780</v>
      </c>
      <c r="E36" s="46">
        <f t="shared" si="5"/>
        <v>3084</v>
      </c>
      <c r="F36" s="46">
        <f t="shared" si="5"/>
        <v>1729.4457580437015</v>
      </c>
      <c r="G36" s="46">
        <f t="shared" si="5"/>
        <v>854.01477919265085</v>
      </c>
      <c r="H36" s="46">
        <f t="shared" si="5"/>
        <v>0</v>
      </c>
      <c r="I36" s="46">
        <f t="shared" si="5"/>
        <v>0</v>
      </c>
      <c r="J36" s="46">
        <f t="shared" si="5"/>
        <v>0</v>
      </c>
      <c r="K36" s="46">
        <f t="shared" si="5"/>
        <v>0</v>
      </c>
      <c r="L36" s="46">
        <f t="shared" si="5"/>
        <v>0</v>
      </c>
      <c r="M36" s="46">
        <f t="shared" si="5"/>
        <v>0</v>
      </c>
      <c r="N36" s="46">
        <f t="shared" si="5"/>
        <v>0</v>
      </c>
      <c r="O36" s="46">
        <f t="shared" si="5"/>
        <v>0</v>
      </c>
    </row>
    <row r="38" spans="3:15">
      <c r="C38" t="s">
        <v>190</v>
      </c>
    </row>
    <row r="39" spans="3:15">
      <c r="C39" s="40" t="s">
        <v>191</v>
      </c>
      <c r="D39" s="42">
        <v>258</v>
      </c>
      <c r="E39" s="42">
        <v>367</v>
      </c>
      <c r="F39" s="58">
        <f>CashFlow!F90</f>
        <v>367</v>
      </c>
      <c r="G39" s="58">
        <f>CashFlow!G90</f>
        <v>367</v>
      </c>
      <c r="H39" s="58">
        <f>CashFlow!H90</f>
        <v>367</v>
      </c>
      <c r="I39" s="58">
        <f>CashFlow!I90</f>
        <v>367</v>
      </c>
      <c r="J39" s="58">
        <f>CashFlow!J90</f>
        <v>367</v>
      </c>
      <c r="K39" s="58">
        <f>CashFlow!K90</f>
        <v>367</v>
      </c>
      <c r="L39" s="58">
        <f>CashFlow!L90</f>
        <v>367</v>
      </c>
      <c r="M39" s="58">
        <f>CashFlow!M90</f>
        <v>367</v>
      </c>
      <c r="N39" s="58">
        <f>CashFlow!N90</f>
        <v>367</v>
      </c>
      <c r="O39" s="58">
        <f>CashFlow!O90</f>
        <v>367</v>
      </c>
    </row>
    <row r="40" spans="3:15">
      <c r="C40" s="40" t="s">
        <v>192</v>
      </c>
      <c r="D40" s="50">
        <v>1079</v>
      </c>
      <c r="E40" s="50">
        <v>983</v>
      </c>
      <c r="F40" s="62">
        <f>CashFlow!F91</f>
        <v>983</v>
      </c>
      <c r="G40" s="62">
        <f>CashFlow!G91</f>
        <v>983</v>
      </c>
      <c r="H40" s="62">
        <f>CashFlow!H91</f>
        <v>983</v>
      </c>
      <c r="I40" s="62">
        <f>CashFlow!I91</f>
        <v>983</v>
      </c>
      <c r="J40" s="62">
        <f>CashFlow!J91</f>
        <v>983</v>
      </c>
      <c r="K40" s="62">
        <f>CashFlow!K91</f>
        <v>983</v>
      </c>
      <c r="L40" s="62">
        <f>CashFlow!L91</f>
        <v>983</v>
      </c>
      <c r="M40" s="62">
        <f>CashFlow!M91</f>
        <v>983</v>
      </c>
      <c r="N40" s="62">
        <f>CashFlow!N91</f>
        <v>983</v>
      </c>
      <c r="O40" s="62">
        <f>CashFlow!O91</f>
        <v>983</v>
      </c>
    </row>
    <row r="41" spans="3:15">
      <c r="C41" t="s">
        <v>193</v>
      </c>
      <c r="D41" s="46">
        <f t="shared" ref="D41:O41" si="6">SUM(D39:D40)</f>
        <v>1337</v>
      </c>
      <c r="E41" s="46">
        <f t="shared" si="6"/>
        <v>1350</v>
      </c>
      <c r="F41" s="46">
        <f t="shared" si="6"/>
        <v>1350</v>
      </c>
      <c r="G41" s="46">
        <f t="shared" si="6"/>
        <v>1350</v>
      </c>
      <c r="H41" s="46">
        <f t="shared" si="6"/>
        <v>1350</v>
      </c>
      <c r="I41" s="46">
        <f t="shared" si="6"/>
        <v>1350</v>
      </c>
      <c r="J41" s="46">
        <f t="shared" si="6"/>
        <v>1350</v>
      </c>
      <c r="K41" s="46">
        <f t="shared" si="6"/>
        <v>1350</v>
      </c>
      <c r="L41" s="46">
        <f t="shared" si="6"/>
        <v>1350</v>
      </c>
      <c r="M41" s="46">
        <f t="shared" si="6"/>
        <v>1350</v>
      </c>
      <c r="N41" s="46">
        <f t="shared" si="6"/>
        <v>1350</v>
      </c>
      <c r="O41" s="46">
        <f t="shared" si="6"/>
        <v>1350</v>
      </c>
    </row>
    <row r="43" spans="3:15">
      <c r="C43" t="s">
        <v>194</v>
      </c>
      <c r="D43" s="55">
        <f>D31+D36+D41</f>
        <v>5347</v>
      </c>
      <c r="E43" s="55">
        <f>E31+E36+E41</f>
        <v>5766</v>
      </c>
      <c r="F43" s="55">
        <f t="shared" ref="F43:O43" si="7">F41+F31+F36</f>
        <v>4418.9074568451606</v>
      </c>
      <c r="G43" s="55">
        <f t="shared" si="7"/>
        <v>3550.9799763068331</v>
      </c>
      <c r="H43" s="55">
        <f t="shared" si="7"/>
        <v>2704.5107290938467</v>
      </c>
      <c r="I43" s="55">
        <f t="shared" si="7"/>
        <v>2712.0985302078429</v>
      </c>
      <c r="J43" s="55">
        <f t="shared" si="7"/>
        <v>2719.7288372426183</v>
      </c>
      <c r="K43" s="55">
        <f t="shared" si="7"/>
        <v>2727.4018883110693</v>
      </c>
      <c r="L43" s="55">
        <f t="shared" si="7"/>
        <v>2735.1179228599722</v>
      </c>
      <c r="M43" s="55">
        <f t="shared" si="7"/>
        <v>2742.8771816774524</v>
      </c>
      <c r="N43" s="55">
        <f t="shared" si="7"/>
        <v>2750.6799069005019</v>
      </c>
      <c r="O43" s="55">
        <f t="shared" si="7"/>
        <v>2758.5263420225342</v>
      </c>
    </row>
    <row r="45" spans="3:15">
      <c r="C45" t="s">
        <v>195</v>
      </c>
    </row>
    <row r="46" spans="3:15">
      <c r="C46" s="40" t="s">
        <v>196</v>
      </c>
      <c r="D46" s="42">
        <v>929</v>
      </c>
      <c r="E46" s="42">
        <v>1096</v>
      </c>
      <c r="F46" s="82" t="s">
        <v>96</v>
      </c>
      <c r="G46" s="82" t="s">
        <v>96</v>
      </c>
      <c r="H46" s="82" t="s">
        <v>96</v>
      </c>
      <c r="I46" s="82" t="s">
        <v>96</v>
      </c>
      <c r="J46" s="82" t="s">
        <v>96</v>
      </c>
      <c r="K46" s="82" t="s">
        <v>96</v>
      </c>
      <c r="L46" s="82" t="s">
        <v>96</v>
      </c>
      <c r="M46" s="82" t="s">
        <v>96</v>
      </c>
      <c r="N46" s="82" t="s">
        <v>96</v>
      </c>
      <c r="O46" s="82" t="s">
        <v>96</v>
      </c>
    </row>
    <row r="47" spans="3:15">
      <c r="C47" t="s">
        <v>197</v>
      </c>
      <c r="D47" s="55">
        <f>SUM(D46:D46)</f>
        <v>929</v>
      </c>
      <c r="E47" s="55">
        <f>SUM(E46:E46)</f>
        <v>1096</v>
      </c>
      <c r="F47" s="164">
        <f>CashFlow!F98</f>
        <v>1971.4001252288363</v>
      </c>
      <c r="G47" s="164">
        <f>CashFlow!G98</f>
        <v>2851.7041333895168</v>
      </c>
      <c r="H47" s="164">
        <f>CashFlow!H98</f>
        <v>3736.9394954260324</v>
      </c>
      <c r="I47" s="164">
        <f>CashFlow!I98</f>
        <v>4627.1338361711951</v>
      </c>
      <c r="J47" s="164">
        <f>CashFlow!J98</f>
        <v>5522.3149352087021</v>
      </c>
      <c r="K47" s="164">
        <f>CashFlow!K98</f>
        <v>6422.5107277400357</v>
      </c>
      <c r="L47" s="164">
        <f>CashFlow!L98</f>
        <v>7327.749305456211</v>
      </c>
      <c r="M47" s="164">
        <f>CashFlow!M98</f>
        <v>8238.0589174144116</v>
      </c>
      <c r="N47" s="164">
        <f>CashFlow!N98</f>
        <v>9153.4679709195389</v>
      </c>
      <c r="O47" s="164">
        <f>CashFlow!O98</f>
        <v>10074.005032410691</v>
      </c>
    </row>
    <row r="49" spans="3:15">
      <c r="C49" t="s">
        <v>198</v>
      </c>
      <c r="D49" s="54">
        <f>D47+D43</f>
        <v>6276</v>
      </c>
      <c r="E49" s="54">
        <f>E47+E43</f>
        <v>6862</v>
      </c>
      <c r="F49" s="54">
        <f t="shared" ref="F49:O49" si="8">F43+F47</f>
        <v>6390.3075820739969</v>
      </c>
      <c r="G49" s="54">
        <f t="shared" si="8"/>
        <v>6402.6841096963499</v>
      </c>
      <c r="H49" s="54">
        <f t="shared" si="8"/>
        <v>6441.4502245198792</v>
      </c>
      <c r="I49" s="54">
        <f t="shared" si="8"/>
        <v>7339.2323663790376</v>
      </c>
      <c r="J49" s="54">
        <f t="shared" si="8"/>
        <v>8242.0437724513213</v>
      </c>
      <c r="K49" s="54">
        <f t="shared" si="8"/>
        <v>9149.9126160511041</v>
      </c>
      <c r="L49" s="54">
        <f t="shared" si="8"/>
        <v>10062.867228316183</v>
      </c>
      <c r="M49" s="54">
        <f t="shared" si="8"/>
        <v>10980.936099091865</v>
      </c>
      <c r="N49" s="54">
        <f t="shared" si="8"/>
        <v>11904.14787782004</v>
      </c>
      <c r="O49" s="54">
        <f t="shared" si="8"/>
        <v>12832.531374433225</v>
      </c>
    </row>
    <row r="51" spans="3:15">
      <c r="C51" s="56" t="s">
        <v>71</v>
      </c>
      <c r="D51" s="57">
        <f t="shared" ref="D51:O51" si="9">D24-D49</f>
        <v>0</v>
      </c>
      <c r="E51" s="57">
        <f t="shared" si="9"/>
        <v>0</v>
      </c>
      <c r="F51" s="57">
        <f t="shared" si="9"/>
        <v>0</v>
      </c>
      <c r="G51" s="57">
        <f t="shared" si="9"/>
        <v>0</v>
      </c>
      <c r="H51" s="57">
        <f t="shared" si="9"/>
        <v>0</v>
      </c>
      <c r="I51" s="57">
        <f t="shared" si="9"/>
        <v>0</v>
      </c>
      <c r="J51" s="57">
        <f t="shared" si="9"/>
        <v>0</v>
      </c>
      <c r="K51" s="57">
        <f t="shared" si="9"/>
        <v>0</v>
      </c>
      <c r="L51" s="57">
        <f t="shared" si="9"/>
        <v>0</v>
      </c>
      <c r="M51" s="57">
        <f t="shared" si="9"/>
        <v>0</v>
      </c>
      <c r="N51" s="57">
        <f t="shared" si="9"/>
        <v>0</v>
      </c>
      <c r="O51" s="57">
        <f t="shared" si="9"/>
        <v>0</v>
      </c>
    </row>
  </sheetData>
  <pageMargins left="0.7" right="0.7" top="0.75" bottom="0.75" header="0.3" footer="0.3"/>
  <pageSetup scale="4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3:AA24"/>
  <sheetViews>
    <sheetView view="pageBreakPreview" workbookViewId="0"/>
  </sheetViews>
  <sheetFormatPr defaultRowHeight="15"/>
  <cols>
    <col min="3" max="3" width="30" customWidth="1"/>
    <col min="4" max="15" width="14" customWidth="1"/>
  </cols>
  <sheetData>
    <row r="3" spans="3:27">
      <c r="C3" s="36" t="s">
        <v>199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Q3" s="36" t="s">
        <v>200</v>
      </c>
      <c r="R3" s="36"/>
      <c r="S3" s="36"/>
      <c r="T3" s="36"/>
      <c r="U3" s="36"/>
      <c r="V3" s="36"/>
      <c r="W3" s="36"/>
      <c r="X3" s="36"/>
      <c r="Y3" s="36"/>
      <c r="Z3" s="36"/>
      <c r="AA3" s="36"/>
    </row>
    <row r="4" spans="3:27" ht="3" customHeight="1">
      <c r="C4" t="s">
        <v>148</v>
      </c>
    </row>
    <row r="5" spans="3:27">
      <c r="D5" s="37">
        <f>'Operating Model'!E5</f>
        <v>2016</v>
      </c>
      <c r="E5" s="37">
        <f>'Operating Model'!F5</f>
        <v>2017</v>
      </c>
      <c r="F5" s="39">
        <f>'Operating Model'!G5</f>
        <v>2018</v>
      </c>
      <c r="G5" s="39">
        <f>'Operating Model'!H5</f>
        <v>2019</v>
      </c>
      <c r="H5" s="39">
        <f>'Operating Model'!I5</f>
        <v>2020</v>
      </c>
      <c r="I5" s="39">
        <f>'Operating Model'!J5</f>
        <v>2021</v>
      </c>
      <c r="J5" s="39">
        <f>'Operating Model'!K5</f>
        <v>2022</v>
      </c>
      <c r="K5" s="39">
        <f>'Operating Model'!L5</f>
        <v>2023</v>
      </c>
      <c r="L5" s="39">
        <f>'Operating Model'!M5</f>
        <v>2024</v>
      </c>
      <c r="M5" s="39">
        <f>'Operating Model'!N5</f>
        <v>2025</v>
      </c>
      <c r="N5" s="39">
        <f>'Operating Model'!O5</f>
        <v>2026</v>
      </c>
      <c r="O5" s="39">
        <f>'Operating Model'!P5</f>
        <v>2027</v>
      </c>
      <c r="R5" s="39">
        <f t="shared" ref="R5:AA5" si="0">F5</f>
        <v>2018</v>
      </c>
      <c r="S5" s="39">
        <f t="shared" si="0"/>
        <v>2019</v>
      </c>
      <c r="T5" s="39">
        <f t="shared" si="0"/>
        <v>2020</v>
      </c>
      <c r="U5" s="39">
        <f t="shared" si="0"/>
        <v>2021</v>
      </c>
      <c r="V5" s="39">
        <f t="shared" si="0"/>
        <v>2022</v>
      </c>
      <c r="W5" s="39">
        <f t="shared" si="0"/>
        <v>2023</v>
      </c>
      <c r="X5" s="39">
        <f t="shared" si="0"/>
        <v>2024</v>
      </c>
      <c r="Y5" s="39">
        <f t="shared" si="0"/>
        <v>2025</v>
      </c>
      <c r="Z5" s="39">
        <f t="shared" si="0"/>
        <v>2026</v>
      </c>
      <c r="AA5" s="39">
        <f t="shared" si="0"/>
        <v>2027</v>
      </c>
    </row>
    <row r="6" spans="3:27" ht="3" customHeight="1">
      <c r="C6" t="s">
        <v>148</v>
      </c>
    </row>
    <row r="7" spans="3:27">
      <c r="C7" t="s">
        <v>149</v>
      </c>
      <c r="D7" s="58">
        <f>'Operating Model'!E9</f>
        <v>7676</v>
      </c>
      <c r="E7" s="58">
        <f>'Operating Model'!F9</f>
        <v>7719</v>
      </c>
      <c r="F7" s="58">
        <f>'Operating Model'!G9</f>
        <v>7762.2408806670137</v>
      </c>
      <c r="G7" s="58">
        <f>'Operating Model'!H9</f>
        <v>7805.7239913846633</v>
      </c>
      <c r="H7" s="58">
        <f>'Operating Model'!I9</f>
        <v>7849.45068909565</v>
      </c>
      <c r="I7" s="58">
        <f>'Operating Model'!J9</f>
        <v>7893.4223383441004</v>
      </c>
      <c r="J7" s="58">
        <f>'Operating Model'!K9</f>
        <v>7937.6403113181477</v>
      </c>
      <c r="K7" s="58">
        <f>'Operating Model'!L9</f>
        <v>7982.1059878927535</v>
      </c>
      <c r="L7" s="58">
        <f>'Operating Model'!M9</f>
        <v>8026.8207556727666</v>
      </c>
      <c r="M7" s="58">
        <f>'Operating Model'!N9</f>
        <v>8071.7860100362268</v>
      </c>
      <c r="N7" s="58">
        <f>'Operating Model'!O9</f>
        <v>8117.003154177909</v>
      </c>
      <c r="O7" s="58">
        <f>'Operating Model'!P9</f>
        <v>8162.4735991531097</v>
      </c>
    </row>
    <row r="8" spans="3:27">
      <c r="C8" t="s">
        <v>201</v>
      </c>
      <c r="D8" s="58">
        <f>'Operating Model'!E13</f>
        <v>4526</v>
      </c>
      <c r="E8" s="58">
        <f>'Operating Model'!F13</f>
        <v>4616</v>
      </c>
      <c r="F8" s="58">
        <f>'Operating Model'!G13</f>
        <v>4641.8582595101607</v>
      </c>
      <c r="G8" s="58">
        <f>'Operating Model'!H13</f>
        <v>4667.861373783081</v>
      </c>
      <c r="H8" s="58">
        <f>'Operating Model'!I13</f>
        <v>4694.0101542771754</v>
      </c>
      <c r="I8" s="58">
        <f>'Operating Model'!J13</f>
        <v>4720.305416996549</v>
      </c>
      <c r="J8" s="58">
        <f>'Operating Model'!K13</f>
        <v>4746.7479825164619</v>
      </c>
      <c r="K8" s="58">
        <f>'Operating Model'!L13</f>
        <v>4773.3386760089325</v>
      </c>
      <c r="L8" s="58">
        <f>'Operating Model'!M13</f>
        <v>4800.0783272684921</v>
      </c>
      <c r="M8" s="58">
        <f>'Operating Model'!N13</f>
        <v>4826.9677707380779</v>
      </c>
      <c r="N8" s="58">
        <f>'Operating Model'!O13</f>
        <v>4854.0078455350722</v>
      </c>
      <c r="O8" s="58">
        <f>'Operating Model'!P13</f>
        <v>4881.1993954774907</v>
      </c>
    </row>
    <row r="10" spans="3:27">
      <c r="C10" t="s">
        <v>202</v>
      </c>
    </row>
    <row r="11" spans="3:27">
      <c r="C11" s="40" t="str">
        <f>'Balance Sheet'!C12</f>
        <v>Accounts receivable</v>
      </c>
      <c r="D11" s="58">
        <f>'Balance Sheet'!D12</f>
        <v>512</v>
      </c>
      <c r="E11" s="58">
        <f>'Balance Sheet'!E12</f>
        <v>560</v>
      </c>
      <c r="F11" s="59">
        <f t="shared" ref="F11:O12" si="1">F7*R11/365</f>
        <v>563.13705054716002</v>
      </c>
      <c r="G11" s="59">
        <f t="shared" si="1"/>
        <v>566.29167446241888</v>
      </c>
      <c r="H11" s="59">
        <f t="shared" si="1"/>
        <v>569.46397018960533</v>
      </c>
      <c r="I11" s="59">
        <f t="shared" si="1"/>
        <v>572.65403672401817</v>
      </c>
      <c r="J11" s="59">
        <f t="shared" si="1"/>
        <v>575.86197361551535</v>
      </c>
      <c r="K11" s="59">
        <f t="shared" si="1"/>
        <v>579.08788097162096</v>
      </c>
      <c r="L11" s="59">
        <f t="shared" si="1"/>
        <v>582.33185946064896</v>
      </c>
      <c r="M11" s="59">
        <f t="shared" si="1"/>
        <v>585.59401031484481</v>
      </c>
      <c r="N11" s="59">
        <f t="shared" si="1"/>
        <v>588.8744353335444</v>
      </c>
      <c r="O11" s="59">
        <f t="shared" si="1"/>
        <v>592.17323688635076</v>
      </c>
      <c r="Q11" t="str">
        <f>'Balance Sheet'!C12</f>
        <v>Accounts receivable</v>
      </c>
      <c r="R11" s="60">
        <f>365*E11/E7</f>
        <v>26.480114004404715</v>
      </c>
      <c r="S11" s="61">
        <f t="shared" ref="S11:AA11" si="2">R11</f>
        <v>26.480114004404715</v>
      </c>
      <c r="T11" s="61">
        <f t="shared" si="2"/>
        <v>26.480114004404715</v>
      </c>
      <c r="U11" s="61">
        <f t="shared" si="2"/>
        <v>26.480114004404715</v>
      </c>
      <c r="V11" s="61">
        <f t="shared" si="2"/>
        <v>26.480114004404715</v>
      </c>
      <c r="W11" s="61">
        <f t="shared" si="2"/>
        <v>26.480114004404715</v>
      </c>
      <c r="X11" s="61">
        <f t="shared" si="2"/>
        <v>26.480114004404715</v>
      </c>
      <c r="Y11" s="61">
        <f t="shared" si="2"/>
        <v>26.480114004404715</v>
      </c>
      <c r="Z11" s="61">
        <f t="shared" si="2"/>
        <v>26.480114004404715</v>
      </c>
      <c r="AA11" s="61">
        <f t="shared" si="2"/>
        <v>26.480114004404715</v>
      </c>
    </row>
    <row r="12" spans="3:27">
      <c r="C12" s="40" t="str">
        <f>'Balance Sheet'!C13</f>
        <v>Inventories</v>
      </c>
      <c r="D12" s="62">
        <f>'Balance Sheet'!D13</f>
        <v>724</v>
      </c>
      <c r="E12" s="62">
        <f>'Balance Sheet'!E13</f>
        <v>767</v>
      </c>
      <c r="F12" s="63">
        <f t="shared" si="1"/>
        <v>771.29663887441359</v>
      </c>
      <c r="G12" s="63">
        <f t="shared" si="1"/>
        <v>775.6173469869201</v>
      </c>
      <c r="H12" s="63">
        <f t="shared" si="1"/>
        <v>779.96225917040579</v>
      </c>
      <c r="I12" s="63">
        <f t="shared" si="1"/>
        <v>784.33151101307476</v>
      </c>
      <c r="J12" s="63">
        <f t="shared" si="1"/>
        <v>788.72523886267902</v>
      </c>
      <c r="K12" s="63">
        <f t="shared" si="1"/>
        <v>793.14357983077377</v>
      </c>
      <c r="L12" s="63">
        <f t="shared" si="1"/>
        <v>797.58667179699603</v>
      </c>
      <c r="M12" s="63">
        <f t="shared" si="1"/>
        <v>802.05465341336776</v>
      </c>
      <c r="N12" s="63">
        <f t="shared" si="1"/>
        <v>806.54766410862237</v>
      </c>
      <c r="O12" s="63">
        <f t="shared" si="1"/>
        <v>811.06584409255538</v>
      </c>
      <c r="Q12" t="str">
        <f>'Balance Sheet'!C13</f>
        <v>Inventories</v>
      </c>
      <c r="R12" s="60">
        <f>365*E12/E8</f>
        <v>60.648830155979205</v>
      </c>
      <c r="S12" s="61">
        <f t="shared" ref="S12:AA12" si="3">R12</f>
        <v>60.648830155979205</v>
      </c>
      <c r="T12" s="61">
        <f t="shared" si="3"/>
        <v>60.648830155979205</v>
      </c>
      <c r="U12" s="61">
        <f t="shared" si="3"/>
        <v>60.648830155979205</v>
      </c>
      <c r="V12" s="61">
        <f t="shared" si="3"/>
        <v>60.648830155979205</v>
      </c>
      <c r="W12" s="61">
        <f t="shared" si="3"/>
        <v>60.648830155979205</v>
      </c>
      <c r="X12" s="61">
        <f t="shared" si="3"/>
        <v>60.648830155979205</v>
      </c>
      <c r="Y12" s="61">
        <f t="shared" si="3"/>
        <v>60.648830155979205</v>
      </c>
      <c r="Z12" s="61">
        <f t="shared" si="3"/>
        <v>60.648830155979205</v>
      </c>
      <c r="AA12" s="61">
        <f t="shared" si="3"/>
        <v>60.648830155979205</v>
      </c>
    </row>
    <row r="13" spans="3:27">
      <c r="C13" s="40" t="str">
        <f>'Balance Sheet'!C14</f>
        <v>Other current assets</v>
      </c>
      <c r="D13" s="62">
        <f>'Balance Sheet'!D14</f>
        <v>197</v>
      </c>
      <c r="E13" s="62">
        <f>'Balance Sheet'!E14</f>
        <v>152</v>
      </c>
      <c r="F13" s="63">
        <f t="shared" ref="F13:O13" si="4">F7*R13</f>
        <v>152.85148514851485</v>
      </c>
      <c r="G13" s="63">
        <f t="shared" si="4"/>
        <v>153.70774021122799</v>
      </c>
      <c r="H13" s="63">
        <f t="shared" si="4"/>
        <v>154.56879190860718</v>
      </c>
      <c r="I13" s="63">
        <f t="shared" si="4"/>
        <v>155.43466711080492</v>
      </c>
      <c r="J13" s="63">
        <f t="shared" si="4"/>
        <v>156.30539283849703</v>
      </c>
      <c r="K13" s="63">
        <f t="shared" si="4"/>
        <v>157.18099626372569</v>
      </c>
      <c r="L13" s="63">
        <f t="shared" si="4"/>
        <v>158.06150471074758</v>
      </c>
      <c r="M13" s="63">
        <f t="shared" si="4"/>
        <v>158.94694565688644</v>
      </c>
      <c r="N13" s="63">
        <f t="shared" si="4"/>
        <v>159.83734673339063</v>
      </c>
      <c r="O13" s="63">
        <f t="shared" si="4"/>
        <v>160.7327357262952</v>
      </c>
      <c r="Q13" t="str">
        <f>'Balance Sheet'!C14</f>
        <v>Other current assets</v>
      </c>
      <c r="R13" s="45">
        <f>E13/E7</f>
        <v>1.9691669905428165E-2</v>
      </c>
      <c r="S13" s="64">
        <f t="shared" ref="S13:AA13" si="5">R13</f>
        <v>1.9691669905428165E-2</v>
      </c>
      <c r="T13" s="64">
        <f t="shared" si="5"/>
        <v>1.9691669905428165E-2</v>
      </c>
      <c r="U13" s="64">
        <f t="shared" si="5"/>
        <v>1.9691669905428165E-2</v>
      </c>
      <c r="V13" s="64">
        <f t="shared" si="5"/>
        <v>1.9691669905428165E-2</v>
      </c>
      <c r="W13" s="64">
        <f t="shared" si="5"/>
        <v>1.9691669905428165E-2</v>
      </c>
      <c r="X13" s="64">
        <f t="shared" si="5"/>
        <v>1.9691669905428165E-2</v>
      </c>
      <c r="Y13" s="64">
        <f t="shared" si="5"/>
        <v>1.9691669905428165E-2</v>
      </c>
      <c r="Z13" s="64">
        <f t="shared" si="5"/>
        <v>1.9691669905428165E-2</v>
      </c>
      <c r="AA13" s="64">
        <f t="shared" si="5"/>
        <v>1.9691669905428165E-2</v>
      </c>
    </row>
    <row r="14" spans="3:27">
      <c r="C14" t="s">
        <v>203</v>
      </c>
      <c r="D14" s="65">
        <f t="shared" ref="D14:O14" si="6">SUM(D11:D13)</f>
        <v>1433</v>
      </c>
      <c r="E14" s="65">
        <f t="shared" si="6"/>
        <v>1479</v>
      </c>
      <c r="F14" s="65">
        <f t="shared" si="6"/>
        <v>1487.2851745700884</v>
      </c>
      <c r="G14" s="65">
        <f t="shared" si="6"/>
        <v>1495.6167616605669</v>
      </c>
      <c r="H14" s="65">
        <f t="shared" si="6"/>
        <v>1503.9950212686183</v>
      </c>
      <c r="I14" s="65">
        <f t="shared" si="6"/>
        <v>1512.4202148478978</v>
      </c>
      <c r="J14" s="65">
        <f t="shared" si="6"/>
        <v>1520.8926053166915</v>
      </c>
      <c r="K14" s="65">
        <f t="shared" si="6"/>
        <v>1529.4124570661206</v>
      </c>
      <c r="L14" s="65">
        <f t="shared" si="6"/>
        <v>1537.9800359683927</v>
      </c>
      <c r="M14" s="65">
        <f t="shared" si="6"/>
        <v>1546.5956093850991</v>
      </c>
      <c r="N14" s="65">
        <f t="shared" si="6"/>
        <v>1555.2594461755573</v>
      </c>
      <c r="O14" s="65">
        <f t="shared" si="6"/>
        <v>1563.9718167052015</v>
      </c>
    </row>
    <row r="16" spans="3:27">
      <c r="C16" t="s">
        <v>204</v>
      </c>
    </row>
    <row r="17" spans="3:27">
      <c r="C17" s="40" t="str">
        <f>'Balance Sheet'!C27</f>
        <v>Payable to suppliers and others</v>
      </c>
      <c r="D17" s="58">
        <f>'Balance Sheet'!D27</f>
        <v>545</v>
      </c>
      <c r="E17" s="58">
        <f>'Balance Sheet'!E27</f>
        <v>585</v>
      </c>
      <c r="F17" s="59">
        <f t="shared" ref="F17:O17" si="7">F8*R17/365</f>
        <v>588.27709744658659</v>
      </c>
      <c r="G17" s="59">
        <f t="shared" si="7"/>
        <v>591.57255278663388</v>
      </c>
      <c r="H17" s="59">
        <f t="shared" si="7"/>
        <v>594.88646885878416</v>
      </c>
      <c r="I17" s="59">
        <f t="shared" si="7"/>
        <v>598.2189490777688</v>
      </c>
      <c r="J17" s="59">
        <f t="shared" si="7"/>
        <v>601.57009743763649</v>
      </c>
      <c r="K17" s="59">
        <f t="shared" si="7"/>
        <v>604.94001851499684</v>
      </c>
      <c r="L17" s="59">
        <f t="shared" si="7"/>
        <v>608.32881747228498</v>
      </c>
      <c r="M17" s="59">
        <f t="shared" si="7"/>
        <v>611.73660006104319</v>
      </c>
      <c r="N17" s="59">
        <f t="shared" si="7"/>
        <v>615.16347262522038</v>
      </c>
      <c r="O17" s="59">
        <f t="shared" si="7"/>
        <v>618.60954210449131</v>
      </c>
      <c r="Q17" t="str">
        <f>'Balance Sheet'!C27</f>
        <v>Payable to suppliers and others</v>
      </c>
      <c r="R17" s="60">
        <f>365*E17/E8</f>
        <v>46.257582322357017</v>
      </c>
      <c r="S17" s="61">
        <f t="shared" ref="S17:AA17" si="8">R17</f>
        <v>46.257582322357017</v>
      </c>
      <c r="T17" s="61">
        <f t="shared" si="8"/>
        <v>46.257582322357017</v>
      </c>
      <c r="U17" s="61">
        <f t="shared" si="8"/>
        <v>46.257582322357017</v>
      </c>
      <c r="V17" s="61">
        <f t="shared" si="8"/>
        <v>46.257582322357017</v>
      </c>
      <c r="W17" s="61">
        <f t="shared" si="8"/>
        <v>46.257582322357017</v>
      </c>
      <c r="X17" s="61">
        <f t="shared" si="8"/>
        <v>46.257582322357017</v>
      </c>
      <c r="Y17" s="61">
        <f t="shared" si="8"/>
        <v>46.257582322357017</v>
      </c>
      <c r="Z17" s="61">
        <f t="shared" si="8"/>
        <v>46.257582322357017</v>
      </c>
      <c r="AA17" s="61">
        <f t="shared" si="8"/>
        <v>46.257582322357017</v>
      </c>
    </row>
    <row r="18" spans="3:27">
      <c r="C18" s="40" t="str">
        <f>'Balance Sheet'!C28</f>
        <v>Accrued liabilities</v>
      </c>
      <c r="D18" s="62">
        <f>'Balance Sheet'!D28</f>
        <v>560</v>
      </c>
      <c r="E18" s="62">
        <f>'Balance Sheet'!E28</f>
        <v>619</v>
      </c>
      <c r="F18" s="63">
        <f t="shared" ref="F18:O18" si="9">F7*R18</f>
        <v>622.46756122980719</v>
      </c>
      <c r="G18" s="63">
        <f t="shared" si="9"/>
        <v>625.9545473075666</v>
      </c>
      <c r="H18" s="63">
        <f t="shared" si="9"/>
        <v>629.46106704886733</v>
      </c>
      <c r="I18" s="63">
        <f t="shared" si="9"/>
        <v>632.98722987887004</v>
      </c>
      <c r="J18" s="63">
        <f t="shared" si="9"/>
        <v>636.53314583572137</v>
      </c>
      <c r="K18" s="63">
        <f t="shared" si="9"/>
        <v>640.09892557398814</v>
      </c>
      <c r="L18" s="63">
        <f t="shared" si="9"/>
        <v>643.68468036811021</v>
      </c>
      <c r="M18" s="63">
        <f t="shared" si="9"/>
        <v>647.29052211587305</v>
      </c>
      <c r="N18" s="63">
        <f t="shared" si="9"/>
        <v>650.91656334189997</v>
      </c>
      <c r="O18" s="63">
        <f t="shared" si="9"/>
        <v>654.56291720116269</v>
      </c>
      <c r="Q18" t="str">
        <f>'Balance Sheet'!C28</f>
        <v>Accrued liabilities</v>
      </c>
      <c r="R18" s="45">
        <f>E18/E7</f>
        <v>8.0191734680658114E-2</v>
      </c>
      <c r="S18" s="64">
        <f t="shared" ref="S18:AA18" si="10">R18</f>
        <v>8.0191734680658114E-2</v>
      </c>
      <c r="T18" s="64">
        <f t="shared" si="10"/>
        <v>8.0191734680658114E-2</v>
      </c>
      <c r="U18" s="64">
        <f t="shared" si="10"/>
        <v>8.0191734680658114E-2</v>
      </c>
      <c r="V18" s="64">
        <f t="shared" si="10"/>
        <v>8.0191734680658114E-2</v>
      </c>
      <c r="W18" s="64">
        <f t="shared" si="10"/>
        <v>8.0191734680658114E-2</v>
      </c>
      <c r="X18" s="64">
        <f t="shared" si="10"/>
        <v>8.0191734680658114E-2</v>
      </c>
      <c r="Y18" s="64">
        <f t="shared" si="10"/>
        <v>8.0191734680658114E-2</v>
      </c>
      <c r="Z18" s="64">
        <f t="shared" si="10"/>
        <v>8.0191734680658114E-2</v>
      </c>
      <c r="AA18" s="64">
        <f t="shared" si="10"/>
        <v>8.0191734680658114E-2</v>
      </c>
    </row>
    <row r="19" spans="3:27">
      <c r="C19" s="40" t="str">
        <f>'Balance Sheet'!C29</f>
        <v>Dividend payable</v>
      </c>
      <c r="D19" s="62">
        <f>'Balance Sheet'!D29</f>
        <v>95</v>
      </c>
      <c r="E19" s="62">
        <f>'Balance Sheet'!E29</f>
        <v>95</v>
      </c>
      <c r="F19" s="63">
        <f t="shared" ref="F19:O19" si="11">F7*R19</f>
        <v>95.53217821782178</v>
      </c>
      <c r="G19" s="63">
        <f t="shared" si="11"/>
        <v>96.067337632017484</v>
      </c>
      <c r="H19" s="63">
        <f t="shared" si="11"/>
        <v>96.605494942879488</v>
      </c>
      <c r="I19" s="63">
        <f t="shared" si="11"/>
        <v>97.146666944253084</v>
      </c>
      <c r="J19" s="63">
        <f t="shared" si="11"/>
        <v>97.690870524060628</v>
      </c>
      <c r="K19" s="63">
        <f t="shared" si="11"/>
        <v>98.238122664828552</v>
      </c>
      <c r="L19" s="63">
        <f t="shared" si="11"/>
        <v>98.78844044421723</v>
      </c>
      <c r="M19" s="63">
        <f t="shared" si="11"/>
        <v>99.341841035554026</v>
      </c>
      <c r="N19" s="63">
        <f t="shared" si="11"/>
        <v>99.898341708369131</v>
      </c>
      <c r="O19" s="63">
        <f t="shared" si="11"/>
        <v>100.45795982893449</v>
      </c>
      <c r="Q19" t="str">
        <f>'Balance Sheet'!C29</f>
        <v>Dividend payable</v>
      </c>
      <c r="R19" s="45">
        <f>E19/E7</f>
        <v>1.2307293690892602E-2</v>
      </c>
      <c r="S19" s="64">
        <f t="shared" ref="S19:AA19" si="12">R19</f>
        <v>1.2307293690892602E-2</v>
      </c>
      <c r="T19" s="64">
        <f t="shared" si="12"/>
        <v>1.2307293690892602E-2</v>
      </c>
      <c r="U19" s="64">
        <f t="shared" si="12"/>
        <v>1.2307293690892602E-2</v>
      </c>
      <c r="V19" s="64">
        <f t="shared" si="12"/>
        <v>1.2307293690892602E-2</v>
      </c>
      <c r="W19" s="64">
        <f t="shared" si="12"/>
        <v>1.2307293690892602E-2</v>
      </c>
      <c r="X19" s="64">
        <f t="shared" si="12"/>
        <v>1.2307293690892602E-2</v>
      </c>
      <c r="Y19" s="64">
        <f t="shared" si="12"/>
        <v>1.2307293690892602E-2</v>
      </c>
      <c r="Z19" s="64">
        <f t="shared" si="12"/>
        <v>1.2307293690892602E-2</v>
      </c>
      <c r="AA19" s="64">
        <f t="shared" si="12"/>
        <v>1.2307293690892602E-2</v>
      </c>
    </row>
    <row r="20" spans="3:27">
      <c r="C20" s="40" t="str">
        <f>'Balance Sheet'!C30</f>
        <v>Accrued income taxes</v>
      </c>
      <c r="D20" s="62">
        <f>'Balance Sheet'!D30</f>
        <v>30</v>
      </c>
      <c r="E20" s="62">
        <f>'Balance Sheet'!E30</f>
        <v>33</v>
      </c>
      <c r="F20" s="63">
        <f t="shared" ref="F20:O20" si="13">F7*R20</f>
        <v>33.184861907243359</v>
      </c>
      <c r="G20" s="63">
        <f t="shared" si="13"/>
        <v>33.370759387963972</v>
      </c>
      <c r="H20" s="63">
        <f t="shared" si="13"/>
        <v>33.557698243316032</v>
      </c>
      <c r="I20" s="63">
        <f t="shared" si="13"/>
        <v>33.74568430695107</v>
      </c>
      <c r="J20" s="63">
        <f t="shared" si="13"/>
        <v>33.934723445200014</v>
      </c>
      <c r="K20" s="63">
        <f t="shared" si="13"/>
        <v>34.124821557256233</v>
      </c>
      <c r="L20" s="63">
        <f t="shared" si="13"/>
        <v>34.315984575359671</v>
      </c>
      <c r="M20" s="63">
        <f t="shared" si="13"/>
        <v>34.50821846498193</v>
      </c>
      <c r="N20" s="63">
        <f t="shared" si="13"/>
        <v>34.701529225012436</v>
      </c>
      <c r="O20" s="63">
        <f t="shared" si="13"/>
        <v>34.895922887945673</v>
      </c>
      <c r="Q20" t="str">
        <f>'Balance Sheet'!C30</f>
        <v>Accrued income taxes</v>
      </c>
      <c r="R20" s="45">
        <f>E20/E7</f>
        <v>4.275165176836378E-3</v>
      </c>
      <c r="S20" s="64">
        <f t="shared" ref="S20:AA20" si="14">R20</f>
        <v>4.275165176836378E-3</v>
      </c>
      <c r="T20" s="64">
        <f t="shared" si="14"/>
        <v>4.275165176836378E-3</v>
      </c>
      <c r="U20" s="64">
        <f t="shared" si="14"/>
        <v>4.275165176836378E-3</v>
      </c>
      <c r="V20" s="64">
        <f t="shared" si="14"/>
        <v>4.275165176836378E-3</v>
      </c>
      <c r="W20" s="64">
        <f t="shared" si="14"/>
        <v>4.275165176836378E-3</v>
      </c>
      <c r="X20" s="64">
        <f t="shared" si="14"/>
        <v>4.275165176836378E-3</v>
      </c>
      <c r="Y20" s="64">
        <f t="shared" si="14"/>
        <v>4.275165176836378E-3</v>
      </c>
      <c r="Z20" s="64">
        <f t="shared" si="14"/>
        <v>4.275165176836378E-3</v>
      </c>
      <c r="AA20" s="64">
        <f t="shared" si="14"/>
        <v>4.275165176836378E-3</v>
      </c>
    </row>
    <row r="21" spans="3:27">
      <c r="C21" t="s">
        <v>205</v>
      </c>
      <c r="D21" s="65">
        <f t="shared" ref="D21:O21" si="15">SUM(D17:D20)</f>
        <v>1230</v>
      </c>
      <c r="E21" s="65">
        <f t="shared" si="15"/>
        <v>1332</v>
      </c>
      <c r="F21" s="65">
        <f t="shared" si="15"/>
        <v>1339.4616988014591</v>
      </c>
      <c r="G21" s="65">
        <f t="shared" si="15"/>
        <v>1346.965197114182</v>
      </c>
      <c r="H21" s="65">
        <f t="shared" si="15"/>
        <v>1354.510729093847</v>
      </c>
      <c r="I21" s="65">
        <f t="shared" si="15"/>
        <v>1362.0985302078429</v>
      </c>
      <c r="J21" s="65">
        <f t="shared" si="15"/>
        <v>1369.7288372426183</v>
      </c>
      <c r="K21" s="65">
        <f t="shared" si="15"/>
        <v>1377.4018883110696</v>
      </c>
      <c r="L21" s="65">
        <f t="shared" si="15"/>
        <v>1385.1179228599722</v>
      </c>
      <c r="M21" s="65">
        <f t="shared" si="15"/>
        <v>1392.8771816774522</v>
      </c>
      <c r="N21" s="65">
        <f t="shared" si="15"/>
        <v>1400.6799069005017</v>
      </c>
      <c r="O21" s="65">
        <f t="shared" si="15"/>
        <v>1408.5263420225342</v>
      </c>
    </row>
    <row r="23" spans="3:27">
      <c r="C23" s="68" t="s">
        <v>206</v>
      </c>
      <c r="D23" s="66">
        <f t="shared" ref="D23:O23" si="16">D14-D21</f>
        <v>203</v>
      </c>
      <c r="E23" s="66">
        <f t="shared" si="16"/>
        <v>147</v>
      </c>
      <c r="F23" s="66">
        <f t="shared" si="16"/>
        <v>147.82347576862935</v>
      </c>
      <c r="G23" s="66">
        <f t="shared" si="16"/>
        <v>148.65156454638486</v>
      </c>
      <c r="H23" s="66">
        <f t="shared" si="16"/>
        <v>149.48429217477133</v>
      </c>
      <c r="I23" s="66">
        <f t="shared" si="16"/>
        <v>150.32168464005485</v>
      </c>
      <c r="J23" s="66">
        <f t="shared" si="16"/>
        <v>151.16376807407323</v>
      </c>
      <c r="K23" s="66">
        <f t="shared" si="16"/>
        <v>152.01056875505105</v>
      </c>
      <c r="L23" s="66">
        <f t="shared" si="16"/>
        <v>152.86211310842054</v>
      </c>
      <c r="M23" s="66">
        <f t="shared" si="16"/>
        <v>153.71842770764692</v>
      </c>
      <c r="N23" s="66">
        <f t="shared" si="16"/>
        <v>154.57953927505559</v>
      </c>
      <c r="O23" s="70">
        <f t="shared" si="16"/>
        <v>155.44547468266728</v>
      </c>
    </row>
    <row r="24" spans="3:27">
      <c r="C24" s="69" t="s">
        <v>207</v>
      </c>
      <c r="D24" s="67"/>
      <c r="E24" s="67">
        <f t="shared" ref="E24:O24" si="17">E23-D23</f>
        <v>-56</v>
      </c>
      <c r="F24" s="67">
        <f t="shared" si="17"/>
        <v>0.82347576862935057</v>
      </c>
      <c r="G24" s="67">
        <f t="shared" si="17"/>
        <v>0.82808877775551082</v>
      </c>
      <c r="H24" s="67">
        <f t="shared" si="17"/>
        <v>0.83272762838646486</v>
      </c>
      <c r="I24" s="67">
        <f t="shared" si="17"/>
        <v>0.83739246528352851</v>
      </c>
      <c r="J24" s="67">
        <f t="shared" si="17"/>
        <v>0.84208343401837737</v>
      </c>
      <c r="K24" s="67">
        <f t="shared" si="17"/>
        <v>0.84680068097782168</v>
      </c>
      <c r="L24" s="67">
        <f t="shared" si="17"/>
        <v>0.85154435336949064</v>
      </c>
      <c r="M24" s="67">
        <f t="shared" si="17"/>
        <v>0.85631459922637987</v>
      </c>
      <c r="N24" s="67">
        <f t="shared" si="17"/>
        <v>0.86111156740867045</v>
      </c>
      <c r="O24" s="71">
        <f t="shared" si="17"/>
        <v>0.86593540761168697</v>
      </c>
    </row>
  </sheetData>
  <pageMargins left="0.7" right="0.7" top="0.75" bottom="0.75" header="0.3" footer="0.3"/>
  <pageSetup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DCF</vt:lpstr>
      <vt:lpstr>LBO</vt:lpstr>
      <vt:lpstr>CashFlow</vt:lpstr>
      <vt:lpstr>Operating Model</vt:lpstr>
      <vt:lpstr>Balance Sheet</vt:lpstr>
      <vt:lpstr>Working Capital</vt:lpstr>
      <vt:lpstr>'Balance Sheet'!Print_Area</vt:lpstr>
      <vt:lpstr>CashFlow!Print_Area</vt:lpstr>
      <vt:lpstr>DCF!Print_Area</vt:lpstr>
      <vt:lpstr>LBO!Print_Area</vt:lpstr>
      <vt:lpstr>'Operating Model'!Print_Area</vt:lpstr>
      <vt:lpstr>'Working Capital'!Print_Area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Auto-Generated Model</dc:title>
  <dc:creator>Accretive Technologies - Namit Setia and Rishab Dugar</dc:creator>
  <cp:lastModifiedBy>namit</cp:lastModifiedBy>
  <dcterms:created xsi:type="dcterms:W3CDTF">2012-03-01T06:40:50Z</dcterms:created>
  <dcterms:modified xsi:type="dcterms:W3CDTF">2018-05-21T01:33:12Z</dcterms:modified>
</cp:coreProperties>
</file>