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test\"/>
    </mc:Choice>
  </mc:AlternateContent>
  <bookViews>
    <workbookView xWindow="0" yWindow="0" windowWidth="15240" windowHeight="8115"/>
  </bookViews>
  <sheets>
    <sheet name="IS" sheetId="9" r:id="rId1"/>
    <sheet name="BS" sheetId="10" r:id="rId2"/>
    <sheet name="CF" sheetId="8" r:id="rId3"/>
    <sheet name="CF_output" sheetId="25" r:id="rId4"/>
    <sheet name="WC" sheetId="11" r:id="rId5"/>
    <sheet name="DCF" sheetId="3" r:id="rId6"/>
    <sheet name="LBO" sheetId="7" r:id="rId7"/>
    <sheet name="LBO output" sheetId="26" r:id="rId8"/>
    <sheet name="Color key" sheetId="14" r:id="rId9"/>
    <sheet name="As reported data&gt;&gt;" sheetId="18" r:id="rId10"/>
    <sheet name="IS_detailed" sheetId="21" r:id="rId11"/>
    <sheet name="BS_detailed" sheetId="22" r:id="rId12"/>
    <sheet name="CF_detailed" sheetId="23" r:id="rId13"/>
    <sheet name="Notice" sheetId="24" r:id="rId14"/>
  </sheets>
  <definedNames>
    <definedName name="_xlnm.Print_Area" localSheetId="1">BS!$C$3:$O$61</definedName>
    <definedName name="_xlnm.Print_Area" localSheetId="2">CF!$B$3:$O$16,CF!$B$18:$O$46,CF!$B$48:$O$86,CF!$B$88:$O$97,CF!$B$99:$O$142,CF!$B$145:$O$160</definedName>
    <definedName name="_xlnm.Print_Area" localSheetId="5">DCF!$B$3:$M$47</definedName>
    <definedName name="_xlnm.Print_Area" localSheetId="0">IS!$C$3:$Q$46,IS!$S$3:$AC$46</definedName>
    <definedName name="_xlnm.Print_Area" localSheetId="6">LBO!$B$3:$M$37,LBO!$B$39:$M$82,LBO!$B$84:$M$127,LBO!$B$129:$M$139,LBO!$B$141:$M$194,LBO!$B$197:$M$219</definedName>
    <definedName name="_xlnm.Print_Area" localSheetId="4">WC!$C$3:$O$24,WC!$Q$3:$AA$24</definedName>
  </definedNames>
  <calcPr calcId="162913" iterate="1"/>
</workbook>
</file>

<file path=xl/calcChain.xml><?xml version="1.0" encoding="utf-8"?>
<calcChain xmlns="http://schemas.openxmlformats.org/spreadsheetml/2006/main">
  <c r="F19" i="26" l="1"/>
  <c r="M15" i="26"/>
  <c r="L15" i="26"/>
  <c r="K15" i="26"/>
  <c r="J15" i="26"/>
  <c r="I15" i="26"/>
  <c r="H15" i="26"/>
  <c r="G15" i="26"/>
  <c r="F15" i="26"/>
  <c r="M14" i="26"/>
  <c r="L14" i="26"/>
  <c r="K14" i="26"/>
  <c r="J14" i="26"/>
  <c r="I14" i="26"/>
  <c r="H14" i="26"/>
  <c r="G14" i="26"/>
  <c r="F14" i="26"/>
  <c r="M10" i="26"/>
  <c r="L10" i="26"/>
  <c r="K10" i="26"/>
  <c r="J10" i="26"/>
  <c r="I10" i="26"/>
  <c r="H10" i="26"/>
  <c r="G10" i="26"/>
  <c r="F10" i="26"/>
  <c r="M9" i="26"/>
  <c r="L9" i="26"/>
  <c r="K9" i="26"/>
  <c r="J9" i="26"/>
  <c r="I9" i="26"/>
  <c r="H9" i="26"/>
  <c r="G9" i="26"/>
  <c r="F9" i="26"/>
  <c r="B16" i="26"/>
  <c r="B15" i="26"/>
  <c r="B14" i="26"/>
  <c r="B13" i="26"/>
  <c r="B12" i="26"/>
  <c r="B11" i="26"/>
  <c r="B10" i="26"/>
  <c r="B9" i="26"/>
  <c r="M7" i="26"/>
  <c r="L7" i="26"/>
  <c r="K7" i="26"/>
  <c r="J7" i="26"/>
  <c r="I7" i="26"/>
  <c r="H7" i="26"/>
  <c r="G7" i="26"/>
  <c r="F7" i="26"/>
  <c r="M5" i="26"/>
  <c r="L5" i="26"/>
  <c r="K5" i="26"/>
  <c r="J5" i="26"/>
  <c r="I5" i="26"/>
  <c r="H5" i="26"/>
  <c r="G5" i="26"/>
  <c r="F5" i="26"/>
  <c r="O15" i="25"/>
  <c r="N15" i="25"/>
  <c r="M15" i="25"/>
  <c r="L15" i="25"/>
  <c r="K15" i="25"/>
  <c r="J15" i="25"/>
  <c r="I15" i="25"/>
  <c r="H15" i="25"/>
  <c r="G15" i="25"/>
  <c r="F15" i="25"/>
  <c r="O14" i="25"/>
  <c r="N14" i="25"/>
  <c r="M14" i="25"/>
  <c r="L14" i="25"/>
  <c r="K14" i="25"/>
  <c r="J14" i="25"/>
  <c r="I14" i="25"/>
  <c r="H14" i="25"/>
  <c r="G14" i="25"/>
  <c r="F14" i="25"/>
  <c r="O10" i="25"/>
  <c r="N10" i="25"/>
  <c r="M10" i="25"/>
  <c r="L10" i="25"/>
  <c r="K10" i="25"/>
  <c r="J10" i="25"/>
  <c r="I10" i="25"/>
  <c r="H10" i="25"/>
  <c r="G10" i="25"/>
  <c r="F10" i="25"/>
  <c r="O9" i="25"/>
  <c r="N9" i="25"/>
  <c r="M9" i="25"/>
  <c r="L9" i="25"/>
  <c r="K9" i="25"/>
  <c r="J9" i="25"/>
  <c r="I9" i="25"/>
  <c r="H9" i="25"/>
  <c r="G9" i="25"/>
  <c r="F9" i="25"/>
  <c r="B16" i="25"/>
  <c r="B15" i="25"/>
  <c r="B14" i="25"/>
  <c r="B13" i="25"/>
  <c r="B12" i="25"/>
  <c r="B11" i="25"/>
  <c r="B10" i="25"/>
  <c r="B9" i="25"/>
  <c r="O7" i="25"/>
  <c r="N7" i="25"/>
  <c r="M7" i="25"/>
  <c r="L7" i="25"/>
  <c r="K7" i="25"/>
  <c r="J7" i="25"/>
  <c r="I7" i="25"/>
  <c r="H7" i="25"/>
  <c r="G7" i="25"/>
  <c r="F7" i="25"/>
  <c r="O5" i="25"/>
  <c r="N5" i="25"/>
  <c r="M5" i="25"/>
  <c r="L5" i="25"/>
  <c r="K5" i="25"/>
  <c r="J5" i="25"/>
  <c r="I5" i="25"/>
  <c r="H5" i="25"/>
  <c r="G5" i="25"/>
  <c r="F5" i="25"/>
  <c r="F21" i="26" l="1"/>
  <c r="F34" i="9"/>
  <c r="F36" i="9" s="1"/>
  <c r="F42" i="9" s="1"/>
  <c r="G34" i="9"/>
  <c r="E34" i="9"/>
  <c r="E36" i="9" s="1"/>
  <c r="G36" i="9"/>
  <c r="H202" i="7"/>
  <c r="I202" i="7" s="1"/>
  <c r="G202" i="7"/>
  <c r="F202" i="7"/>
  <c r="M201" i="7"/>
  <c r="L201" i="7"/>
  <c r="K201" i="7"/>
  <c r="J201" i="7"/>
  <c r="I201" i="7"/>
  <c r="H201" i="7"/>
  <c r="G201" i="7"/>
  <c r="F201" i="7"/>
  <c r="C183" i="7"/>
  <c r="C182" i="7"/>
  <c r="C181" i="7"/>
  <c r="C180" i="7"/>
  <c r="C179" i="7"/>
  <c r="C178" i="7"/>
  <c r="C177" i="7"/>
  <c r="C176" i="7"/>
  <c r="D174" i="7"/>
  <c r="E174" i="7" s="1"/>
  <c r="B174" i="7"/>
  <c r="D173" i="7"/>
  <c r="E173" i="7" s="1"/>
  <c r="B173" i="7"/>
  <c r="E172" i="7"/>
  <c r="D172" i="7"/>
  <c r="B172" i="7"/>
  <c r="E171" i="7"/>
  <c r="D171" i="7"/>
  <c r="B171" i="7"/>
  <c r="E170" i="7"/>
  <c r="D170" i="7"/>
  <c r="B170" i="7"/>
  <c r="D169" i="7"/>
  <c r="E169" i="7" s="1"/>
  <c r="B169" i="7"/>
  <c r="D168" i="7"/>
  <c r="E168" i="7" s="1"/>
  <c r="B168" i="7"/>
  <c r="D167" i="7"/>
  <c r="E167" i="7" s="1"/>
  <c r="B167" i="7"/>
  <c r="B163" i="7"/>
  <c r="B162" i="7"/>
  <c r="B161" i="7"/>
  <c r="D155" i="7"/>
  <c r="E155" i="7" s="1"/>
  <c r="F155" i="7" s="1"/>
  <c r="G155" i="7" s="1"/>
  <c r="H155" i="7" s="1"/>
  <c r="I155" i="7" s="1"/>
  <c r="J155" i="7" s="1"/>
  <c r="K155" i="7" s="1"/>
  <c r="L155" i="7" s="1"/>
  <c r="M155" i="7" s="1"/>
  <c r="B154" i="7"/>
  <c r="B153" i="7"/>
  <c r="B152" i="7"/>
  <c r="B151" i="7"/>
  <c r="B150" i="7"/>
  <c r="D145" i="7"/>
  <c r="M135" i="7"/>
  <c r="L135" i="7"/>
  <c r="K135" i="7"/>
  <c r="J135" i="7"/>
  <c r="I135" i="7"/>
  <c r="H135" i="7"/>
  <c r="G135" i="7"/>
  <c r="F135" i="7"/>
  <c r="M125" i="7"/>
  <c r="L125" i="7"/>
  <c r="K125" i="7"/>
  <c r="J125" i="7"/>
  <c r="I125" i="7"/>
  <c r="H125" i="7"/>
  <c r="G125" i="7"/>
  <c r="F125" i="7"/>
  <c r="B125" i="7"/>
  <c r="M124" i="7"/>
  <c r="L124" i="7"/>
  <c r="K124" i="7"/>
  <c r="J124" i="7"/>
  <c r="I124" i="7"/>
  <c r="H124" i="7"/>
  <c r="G124" i="7"/>
  <c r="F124" i="7"/>
  <c r="B124" i="7"/>
  <c r="M123" i="7"/>
  <c r="L123" i="7"/>
  <c r="K123" i="7"/>
  <c r="J123" i="7"/>
  <c r="I123" i="7"/>
  <c r="H123" i="7"/>
  <c r="G123" i="7"/>
  <c r="F123" i="7"/>
  <c r="B123" i="7"/>
  <c r="M122" i="7"/>
  <c r="L122" i="7"/>
  <c r="K122" i="7"/>
  <c r="J122" i="7"/>
  <c r="I122" i="7"/>
  <c r="H122" i="7"/>
  <c r="G122" i="7"/>
  <c r="F122" i="7"/>
  <c r="B122" i="7"/>
  <c r="M121" i="7"/>
  <c r="L121" i="7"/>
  <c r="K121" i="7"/>
  <c r="J121" i="7"/>
  <c r="I121" i="7"/>
  <c r="H121" i="7"/>
  <c r="G121" i="7"/>
  <c r="F121" i="7"/>
  <c r="B121" i="7"/>
  <c r="M120" i="7"/>
  <c r="L120" i="7"/>
  <c r="K120" i="7"/>
  <c r="J120" i="7"/>
  <c r="I120" i="7"/>
  <c r="H120" i="7"/>
  <c r="G120" i="7"/>
  <c r="F120" i="7"/>
  <c r="B120" i="7"/>
  <c r="M119" i="7"/>
  <c r="L119" i="7"/>
  <c r="K119" i="7"/>
  <c r="J119" i="7"/>
  <c r="I119" i="7"/>
  <c r="H119" i="7"/>
  <c r="G119" i="7"/>
  <c r="F119" i="7"/>
  <c r="B119" i="7"/>
  <c r="M118" i="7"/>
  <c r="L118" i="7"/>
  <c r="K118" i="7"/>
  <c r="J118" i="7"/>
  <c r="I118" i="7"/>
  <c r="H118" i="7"/>
  <c r="G118" i="7"/>
  <c r="F118" i="7"/>
  <c r="B118" i="7"/>
  <c r="M117" i="7"/>
  <c r="L117" i="7"/>
  <c r="K117" i="7"/>
  <c r="J117" i="7"/>
  <c r="I117" i="7"/>
  <c r="H117" i="7"/>
  <c r="G117" i="7"/>
  <c r="F117" i="7"/>
  <c r="B117" i="7"/>
  <c r="M116" i="7"/>
  <c r="L116" i="7"/>
  <c r="K116" i="7"/>
  <c r="J116" i="7"/>
  <c r="I116" i="7"/>
  <c r="H116" i="7"/>
  <c r="G116" i="7"/>
  <c r="F116" i="7"/>
  <c r="B116" i="7"/>
  <c r="M115" i="7"/>
  <c r="L115" i="7"/>
  <c r="K115" i="7"/>
  <c r="J115" i="7"/>
  <c r="I115" i="7"/>
  <c r="H115" i="7"/>
  <c r="G115" i="7"/>
  <c r="F115" i="7"/>
  <c r="B115" i="7"/>
  <c r="M114" i="7"/>
  <c r="L114" i="7"/>
  <c r="K114" i="7"/>
  <c r="J114" i="7"/>
  <c r="I114" i="7"/>
  <c r="H114" i="7"/>
  <c r="G114" i="7"/>
  <c r="F114" i="7"/>
  <c r="B114" i="7"/>
  <c r="M113" i="7"/>
  <c r="L113" i="7"/>
  <c r="K113" i="7"/>
  <c r="J113" i="7"/>
  <c r="I113" i="7"/>
  <c r="H113" i="7"/>
  <c r="G113" i="7"/>
  <c r="F113" i="7"/>
  <c r="B113" i="7"/>
  <c r="B112" i="7"/>
  <c r="B111" i="7"/>
  <c r="B110" i="7"/>
  <c r="B108" i="7"/>
  <c r="M106" i="7"/>
  <c r="L106" i="7"/>
  <c r="K106" i="7"/>
  <c r="J106" i="7"/>
  <c r="I106" i="7"/>
  <c r="H106" i="7"/>
  <c r="G106" i="7"/>
  <c r="F106" i="7"/>
  <c r="B99" i="7"/>
  <c r="B98" i="7"/>
  <c r="B97" i="7"/>
  <c r="B96" i="7"/>
  <c r="F72" i="7"/>
  <c r="B72" i="7"/>
  <c r="F71" i="7"/>
  <c r="B71" i="7"/>
  <c r="G70" i="7"/>
  <c r="G172" i="7" s="1"/>
  <c r="F70" i="7"/>
  <c r="F172" i="7" s="1"/>
  <c r="B70" i="7"/>
  <c r="F69" i="7"/>
  <c r="B69" i="7"/>
  <c r="B68" i="7"/>
  <c r="F67" i="7"/>
  <c r="B67" i="7"/>
  <c r="B66" i="7"/>
  <c r="F65" i="7"/>
  <c r="B65" i="7"/>
  <c r="M60" i="7"/>
  <c r="L60" i="7"/>
  <c r="K60" i="7"/>
  <c r="J60" i="7"/>
  <c r="I60" i="7"/>
  <c r="H60" i="7"/>
  <c r="G60" i="7"/>
  <c r="F60" i="7"/>
  <c r="B50" i="7"/>
  <c r="B49" i="7"/>
  <c r="B48" i="7"/>
  <c r="B47" i="7"/>
  <c r="B46" i="7"/>
  <c r="B45" i="7"/>
  <c r="B44" i="7"/>
  <c r="B43" i="7"/>
  <c r="T18" i="7"/>
  <c r="S18" i="7"/>
  <c r="R18" i="7"/>
  <c r="Q18" i="7"/>
  <c r="P18" i="7"/>
  <c r="M16" i="7"/>
  <c r="D183" i="7" s="1"/>
  <c r="E183" i="7" s="1"/>
  <c r="J16" i="7"/>
  <c r="M15" i="7"/>
  <c r="D182" i="7" s="1"/>
  <c r="E182" i="7" s="1"/>
  <c r="J15" i="7"/>
  <c r="M14" i="7"/>
  <c r="D181" i="7" s="1"/>
  <c r="E181" i="7" s="1"/>
  <c r="J14" i="7"/>
  <c r="M13" i="7"/>
  <c r="D180" i="7" s="1"/>
  <c r="E180" i="7" s="1"/>
  <c r="J13" i="7"/>
  <c r="T12" i="7"/>
  <c r="T15" i="7" s="1"/>
  <c r="T16" i="7" s="1"/>
  <c r="T17" i="7" s="1"/>
  <c r="T19" i="7" s="1"/>
  <c r="T20" i="7" s="1"/>
  <c r="S12" i="7"/>
  <c r="S15" i="7" s="1"/>
  <c r="S16" i="7" s="1"/>
  <c r="S17" i="7" s="1"/>
  <c r="S19" i="7" s="1"/>
  <c r="S20" i="7" s="1"/>
  <c r="R12" i="7"/>
  <c r="R15" i="7" s="1"/>
  <c r="R16" i="7" s="1"/>
  <c r="R17" i="7" s="1"/>
  <c r="R19" i="7" s="1"/>
  <c r="R20" i="7" s="1"/>
  <c r="Q12" i="7"/>
  <c r="Q15" i="7" s="1"/>
  <c r="Q16" i="7" s="1"/>
  <c r="Q17" i="7" s="1"/>
  <c r="Q19" i="7" s="1"/>
  <c r="Q20" i="7" s="1"/>
  <c r="P12" i="7"/>
  <c r="P15" i="7" s="1"/>
  <c r="P16" i="7" s="1"/>
  <c r="P17" i="7" s="1"/>
  <c r="P19" i="7" s="1"/>
  <c r="P20" i="7" s="1"/>
  <c r="M6" i="7" s="1"/>
  <c r="M12" i="7"/>
  <c r="D179" i="7" s="1"/>
  <c r="E179" i="7" s="1"/>
  <c r="J12" i="7"/>
  <c r="B55" i="7" s="1"/>
  <c r="M11" i="7"/>
  <c r="D178" i="7" s="1"/>
  <c r="E178" i="7" s="1"/>
  <c r="J11" i="7"/>
  <c r="M10" i="7"/>
  <c r="D177" i="7" s="1"/>
  <c r="E177" i="7" s="1"/>
  <c r="J10" i="7"/>
  <c r="B53" i="7" s="1"/>
  <c r="M9" i="7"/>
  <c r="D176" i="7" s="1"/>
  <c r="E176" i="7" s="1"/>
  <c r="J9" i="7"/>
  <c r="J8" i="7"/>
  <c r="D39" i="3"/>
  <c r="G39" i="3" s="1"/>
  <c r="D29" i="3"/>
  <c r="E28" i="3"/>
  <c r="F27" i="3"/>
  <c r="G27" i="3" s="1"/>
  <c r="H27" i="3" s="1"/>
  <c r="I27" i="3" s="1"/>
  <c r="J27" i="3" s="1"/>
  <c r="K27" i="3" s="1"/>
  <c r="L27" i="3" s="1"/>
  <c r="M27" i="3" s="1"/>
  <c r="D27" i="3"/>
  <c r="E27" i="3" s="1"/>
  <c r="B12" i="3"/>
  <c r="Q19" i="11"/>
  <c r="C19" i="11"/>
  <c r="Q18" i="11"/>
  <c r="C18" i="11"/>
  <c r="Q14" i="11"/>
  <c r="C14" i="11"/>
  <c r="Q13" i="11"/>
  <c r="C13" i="11"/>
  <c r="Q12" i="11"/>
  <c r="C12" i="11"/>
  <c r="Q11" i="11"/>
  <c r="C11" i="11"/>
  <c r="C131" i="8"/>
  <c r="E131" i="8" s="1"/>
  <c r="C130" i="8"/>
  <c r="E130" i="8" s="1"/>
  <c r="C129" i="8"/>
  <c r="E129" i="8" s="1"/>
  <c r="C128" i="8"/>
  <c r="E128" i="8" s="1"/>
  <c r="F42" i="8" s="1"/>
  <c r="C127" i="8"/>
  <c r="E127" i="8" s="1"/>
  <c r="C126" i="8"/>
  <c r="E126" i="8" s="1"/>
  <c r="C125" i="8"/>
  <c r="E125" i="8" s="1"/>
  <c r="C124" i="8"/>
  <c r="E124" i="8" s="1"/>
  <c r="F38" i="8" s="1"/>
  <c r="B120" i="8"/>
  <c r="B119" i="8"/>
  <c r="B118" i="8"/>
  <c r="B112" i="8"/>
  <c r="B111" i="8"/>
  <c r="B110" i="8"/>
  <c r="B109" i="8"/>
  <c r="B108" i="8"/>
  <c r="F45" i="8"/>
  <c r="F41" i="8"/>
  <c r="O31" i="8"/>
  <c r="N31" i="8"/>
  <c r="M31" i="8"/>
  <c r="L31" i="8"/>
  <c r="K31" i="8"/>
  <c r="J31" i="8"/>
  <c r="I31" i="8"/>
  <c r="H31" i="8"/>
  <c r="G31" i="8"/>
  <c r="F31" i="8"/>
  <c r="B30" i="8"/>
  <c r="B45" i="8" s="1"/>
  <c r="B29" i="8"/>
  <c r="B44" i="8" s="1"/>
  <c r="B28" i="8"/>
  <c r="B43" i="8" s="1"/>
  <c r="B27" i="8"/>
  <c r="B42" i="8" s="1"/>
  <c r="B65" i="8" s="1"/>
  <c r="B26" i="8"/>
  <c r="B41" i="8" s="1"/>
  <c r="B25" i="8"/>
  <c r="B40" i="8" s="1"/>
  <c r="B126" i="8" s="1"/>
  <c r="B24" i="8"/>
  <c r="B39" i="8" s="1"/>
  <c r="B23" i="8"/>
  <c r="B38" i="8" s="1"/>
  <c r="B22" i="8"/>
  <c r="B37" i="8" s="1"/>
  <c r="E56" i="10"/>
  <c r="D56" i="10"/>
  <c r="C162" i="7"/>
  <c r="E162" i="7" s="1"/>
  <c r="F162" i="7" s="1"/>
  <c r="G162" i="7" s="1"/>
  <c r="H162" i="7" s="1"/>
  <c r="I162" i="7" s="1"/>
  <c r="J162" i="7" s="1"/>
  <c r="K162" i="7" s="1"/>
  <c r="L162" i="7" s="1"/>
  <c r="M162" i="7" s="1"/>
  <c r="D44" i="10"/>
  <c r="E31" i="10"/>
  <c r="E19" i="11" s="1"/>
  <c r="D31" i="10"/>
  <c r="D19" i="11" s="1"/>
  <c r="E18" i="11"/>
  <c r="D18" i="11"/>
  <c r="C153" i="7"/>
  <c r="E153" i="7" s="1"/>
  <c r="F153" i="7" s="1"/>
  <c r="G153" i="7" s="1"/>
  <c r="H153" i="7" s="1"/>
  <c r="I153" i="7" s="1"/>
  <c r="J153" i="7" s="1"/>
  <c r="K153" i="7" s="1"/>
  <c r="L153" i="7" s="1"/>
  <c r="M153" i="7" s="1"/>
  <c r="E13" i="11"/>
  <c r="D13" i="11"/>
  <c r="E12" i="11"/>
  <c r="D12" i="11"/>
  <c r="E11" i="11"/>
  <c r="D11" i="11"/>
  <c r="E10" i="10"/>
  <c r="D10" i="10"/>
  <c r="S45" i="9"/>
  <c r="H41" i="9"/>
  <c r="I41" i="9" s="1"/>
  <c r="J41" i="9" s="1"/>
  <c r="S38" i="9"/>
  <c r="S33" i="9"/>
  <c r="S26" i="9"/>
  <c r="S17" i="9"/>
  <c r="S16" i="9"/>
  <c r="S15" i="9"/>
  <c r="S14" i="9"/>
  <c r="S13" i="9"/>
  <c r="E8" i="11"/>
  <c r="D8" i="11"/>
  <c r="E9" i="9"/>
  <c r="S8" i="9"/>
  <c r="G9" i="9"/>
  <c r="F9" i="9"/>
  <c r="E5" i="9"/>
  <c r="B130" i="8" l="1"/>
  <c r="B84" i="8"/>
  <c r="F171" i="7"/>
  <c r="G42" i="9"/>
  <c r="G39" i="9"/>
  <c r="E23" i="9"/>
  <c r="E28" i="9"/>
  <c r="E29" i="9" s="1"/>
  <c r="E24" i="9"/>
  <c r="D7" i="11"/>
  <c r="F10" i="9"/>
  <c r="T14" i="9"/>
  <c r="U14" i="9" s="1"/>
  <c r="F5" i="9"/>
  <c r="T15" i="9"/>
  <c r="U15" i="9" s="1"/>
  <c r="E7" i="11"/>
  <c r="R11" i="11" s="1"/>
  <c r="S11" i="11" s="1"/>
  <c r="T11" i="11" s="1"/>
  <c r="U11" i="11" s="1"/>
  <c r="V11" i="11" s="1"/>
  <c r="W11" i="11" s="1"/>
  <c r="X11" i="11" s="1"/>
  <c r="Y11" i="11" s="1"/>
  <c r="Z11" i="11" s="1"/>
  <c r="AA11" i="11" s="1"/>
  <c r="T8" i="9"/>
  <c r="U8" i="9" s="1"/>
  <c r="V8" i="9" s="1"/>
  <c r="W8" i="9" s="1"/>
  <c r="X8" i="9" s="1"/>
  <c r="Y8" i="9" s="1"/>
  <c r="Z8" i="9" s="1"/>
  <c r="AA8" i="9" s="1"/>
  <c r="AB8" i="9" s="1"/>
  <c r="AC8" i="9" s="1"/>
  <c r="T16" i="9"/>
  <c r="U16" i="9" s="1"/>
  <c r="G10" i="9"/>
  <c r="E17" i="9"/>
  <c r="F43" i="9"/>
  <c r="C145" i="7"/>
  <c r="C11" i="7"/>
  <c r="C103" i="8"/>
  <c r="E16" i="10"/>
  <c r="E14" i="11" s="1"/>
  <c r="G43" i="9"/>
  <c r="E46" i="9"/>
  <c r="B60" i="8"/>
  <c r="B123" i="8"/>
  <c r="B77" i="8"/>
  <c r="B81" i="8"/>
  <c r="B64" i="8"/>
  <c r="B127" i="8"/>
  <c r="E21" i="9"/>
  <c r="T13" i="9"/>
  <c r="U13" i="9" s="1"/>
  <c r="F23" i="9"/>
  <c r="T26" i="9"/>
  <c r="U26" i="9" s="1"/>
  <c r="V26" i="9" s="1"/>
  <c r="W26" i="9" s="1"/>
  <c r="X26" i="9" s="1"/>
  <c r="Y26" i="9" s="1"/>
  <c r="Z26" i="9" s="1"/>
  <c r="AA26" i="9" s="1"/>
  <c r="AB26" i="9" s="1"/>
  <c r="AC26" i="9" s="1"/>
  <c r="F46" i="9"/>
  <c r="K41" i="9"/>
  <c r="T45" i="9"/>
  <c r="D16" i="10"/>
  <c r="D14" i="11" s="1"/>
  <c r="D15" i="11" s="1"/>
  <c r="G46" i="9"/>
  <c r="C150" i="7"/>
  <c r="E150" i="7" s="1"/>
  <c r="C108" i="8"/>
  <c r="E108" i="8" s="1"/>
  <c r="F43" i="8"/>
  <c r="E39" i="9"/>
  <c r="E42" i="9"/>
  <c r="E43" i="9" s="1"/>
  <c r="C152" i="7"/>
  <c r="E152" i="7" s="1"/>
  <c r="F152" i="7" s="1"/>
  <c r="G152" i="7" s="1"/>
  <c r="H152" i="7" s="1"/>
  <c r="I152" i="7" s="1"/>
  <c r="J152" i="7" s="1"/>
  <c r="K152" i="7" s="1"/>
  <c r="L152" i="7" s="1"/>
  <c r="M152" i="7" s="1"/>
  <c r="C110" i="8"/>
  <c r="E110" i="8" s="1"/>
  <c r="F110" i="8" s="1"/>
  <c r="C163" i="7"/>
  <c r="M19" i="7"/>
  <c r="D163" i="7" s="1"/>
  <c r="C10" i="7"/>
  <c r="C120" i="8"/>
  <c r="E120" i="8" s="1"/>
  <c r="F120" i="8" s="1"/>
  <c r="B124" i="8"/>
  <c r="B78" i="8"/>
  <c r="B128" i="8"/>
  <c r="B82" i="8"/>
  <c r="B61" i="8"/>
  <c r="T38" i="9"/>
  <c r="F39" i="9"/>
  <c r="R13" i="11"/>
  <c r="S13" i="11" s="1"/>
  <c r="T13" i="11" s="1"/>
  <c r="U13" i="11" s="1"/>
  <c r="V13" i="11" s="1"/>
  <c r="W13" i="11" s="1"/>
  <c r="X13" i="11" s="1"/>
  <c r="Y13" i="11" s="1"/>
  <c r="Z13" i="11" s="1"/>
  <c r="AA13" i="11" s="1"/>
  <c r="C175" i="7"/>
  <c r="C123" i="8"/>
  <c r="E123" i="8" s="1"/>
  <c r="M8" i="7"/>
  <c r="D175" i="7" s="1"/>
  <c r="E44" i="10"/>
  <c r="E47" i="10" s="1"/>
  <c r="D47" i="10"/>
  <c r="D50" i="10" s="1"/>
  <c r="D52" i="10" s="1"/>
  <c r="D58" i="10" s="1"/>
  <c r="D60" i="10" s="1"/>
  <c r="B79" i="8"/>
  <c r="B125" i="8"/>
  <c r="B62" i="8"/>
  <c r="B83" i="8"/>
  <c r="B129" i="8"/>
  <c r="B66" i="8"/>
  <c r="B68" i="8"/>
  <c r="B85" i="8"/>
  <c r="B131" i="8"/>
  <c r="E24" i="10"/>
  <c r="D20" i="11"/>
  <c r="R19" i="11"/>
  <c r="S19" i="11" s="1"/>
  <c r="T19" i="11" s="1"/>
  <c r="U19" i="11" s="1"/>
  <c r="V19" i="11" s="1"/>
  <c r="W19" i="11" s="1"/>
  <c r="X19" i="11" s="1"/>
  <c r="Y19" i="11" s="1"/>
  <c r="Z19" i="11" s="1"/>
  <c r="AA19" i="11" s="1"/>
  <c r="C186" i="7"/>
  <c r="C134" i="8"/>
  <c r="E134" i="8" s="1"/>
  <c r="F39" i="8"/>
  <c r="C151" i="7"/>
  <c r="C109" i="8"/>
  <c r="E109" i="8" s="1"/>
  <c r="E20" i="11"/>
  <c r="F40" i="8"/>
  <c r="F44" i="8"/>
  <c r="B63" i="8"/>
  <c r="B67" i="8"/>
  <c r="B80" i="8"/>
  <c r="C119" i="8"/>
  <c r="E119" i="8" s="1"/>
  <c r="F119" i="8" s="1"/>
  <c r="C111" i="8"/>
  <c r="E111" i="8" s="1"/>
  <c r="F111" i="8" s="1"/>
  <c r="H70" i="7"/>
  <c r="H172" i="7" s="1"/>
  <c r="F78" i="7"/>
  <c r="F180" i="7" s="1"/>
  <c r="F80" i="7"/>
  <c r="F182" i="7" s="1"/>
  <c r="F77" i="7"/>
  <c r="F179" i="7" s="1"/>
  <c r="E29" i="3"/>
  <c r="F28" i="3"/>
  <c r="B178" i="7"/>
  <c r="B76" i="7"/>
  <c r="B54" i="7"/>
  <c r="B177" i="7"/>
  <c r="B75" i="7"/>
  <c r="F178" i="7"/>
  <c r="F76" i="7"/>
  <c r="B181" i="7"/>
  <c r="B79" i="7"/>
  <c r="F66" i="7"/>
  <c r="G171" i="7"/>
  <c r="G69" i="7"/>
  <c r="B176" i="7"/>
  <c r="B52" i="7"/>
  <c r="B74" i="7"/>
  <c r="F75" i="7"/>
  <c r="F177" i="7" s="1"/>
  <c r="F79" i="7"/>
  <c r="F181" i="7" s="1"/>
  <c r="B183" i="7"/>
  <c r="B81" i="7"/>
  <c r="B57" i="7"/>
  <c r="B175" i="7"/>
  <c r="B73" i="7"/>
  <c r="F176" i="7"/>
  <c r="F74" i="7"/>
  <c r="B179" i="7"/>
  <c r="B77" i="7"/>
  <c r="B180" i="7"/>
  <c r="B56" i="7"/>
  <c r="B78" i="7"/>
  <c r="B182" i="7"/>
  <c r="B80" i="7"/>
  <c r="B58" i="7"/>
  <c r="F81" i="7"/>
  <c r="F183" i="7" s="1"/>
  <c r="B51" i="7"/>
  <c r="B59" i="7"/>
  <c r="F174" i="7"/>
  <c r="F68" i="7"/>
  <c r="F173" i="7"/>
  <c r="J202" i="7"/>
  <c r="R12" i="11" l="1"/>
  <c r="S12" i="11" s="1"/>
  <c r="T12" i="11" s="1"/>
  <c r="U12" i="11" s="1"/>
  <c r="V12" i="11" s="1"/>
  <c r="W12" i="11" s="1"/>
  <c r="X12" i="11" s="1"/>
  <c r="Y12" i="11" s="1"/>
  <c r="Z12" i="11" s="1"/>
  <c r="AA12" i="11" s="1"/>
  <c r="R18" i="11"/>
  <c r="S18" i="11" s="1"/>
  <c r="T18" i="11" s="1"/>
  <c r="U18" i="11" s="1"/>
  <c r="V18" i="11" s="1"/>
  <c r="W18" i="11" s="1"/>
  <c r="X18" i="11" s="1"/>
  <c r="Y18" i="11" s="1"/>
  <c r="Z18" i="11" s="1"/>
  <c r="AA18" i="11" s="1"/>
  <c r="R14" i="11"/>
  <c r="S14" i="11" s="1"/>
  <c r="T14" i="11" s="1"/>
  <c r="U14" i="11" s="1"/>
  <c r="V14" i="11" s="1"/>
  <c r="W14" i="11" s="1"/>
  <c r="X14" i="11" s="1"/>
  <c r="Y14" i="11" s="1"/>
  <c r="Z14" i="11" s="1"/>
  <c r="AA14" i="11" s="1"/>
  <c r="E15" i="11"/>
  <c r="E22" i="11" s="1"/>
  <c r="E175" i="7"/>
  <c r="D24" i="10"/>
  <c r="D25" i="10" s="1"/>
  <c r="H8" i="9"/>
  <c r="G80" i="7"/>
  <c r="G182" i="7" s="1"/>
  <c r="G75" i="7"/>
  <c r="G177" i="7" s="1"/>
  <c r="G78" i="7"/>
  <c r="G180" i="7" s="1"/>
  <c r="G79" i="7"/>
  <c r="G181" i="7" s="1"/>
  <c r="I70" i="7"/>
  <c r="I172" i="7" s="1"/>
  <c r="G77" i="7"/>
  <c r="G179" i="7" s="1"/>
  <c r="F28" i="9"/>
  <c r="F29" i="9" s="1"/>
  <c r="F24" i="9"/>
  <c r="G74" i="7"/>
  <c r="G176" i="7" s="1"/>
  <c r="F29" i="3"/>
  <c r="G28" i="3"/>
  <c r="G119" i="8"/>
  <c r="F48" i="10"/>
  <c r="F73" i="7"/>
  <c r="F175" i="7" s="1"/>
  <c r="U45" i="9"/>
  <c r="V16" i="9"/>
  <c r="G71" i="7"/>
  <c r="G173" i="7" s="1"/>
  <c r="D20" i="3"/>
  <c r="D43" i="3" s="1"/>
  <c r="G43" i="3" s="1"/>
  <c r="C9" i="7"/>
  <c r="D22" i="11"/>
  <c r="L41" i="9"/>
  <c r="M41" i="9" s="1"/>
  <c r="F19" i="9"/>
  <c r="F17" i="9"/>
  <c r="E103" i="8"/>
  <c r="V15" i="9"/>
  <c r="V14" i="9"/>
  <c r="G174" i="7"/>
  <c r="G72" i="7"/>
  <c r="G81" i="7"/>
  <c r="G183" i="7" s="1"/>
  <c r="H171" i="7"/>
  <c r="H69" i="7"/>
  <c r="G76" i="7"/>
  <c r="G178" i="7" s="1"/>
  <c r="G111" i="8"/>
  <c r="F23" i="10"/>
  <c r="C158" i="7"/>
  <c r="C115" i="8"/>
  <c r="C161" i="7"/>
  <c r="E161" i="7" s="1"/>
  <c r="F161" i="7" s="1"/>
  <c r="G161" i="7" s="1"/>
  <c r="H161" i="7" s="1"/>
  <c r="I161" i="7" s="1"/>
  <c r="J161" i="7" s="1"/>
  <c r="K161" i="7" s="1"/>
  <c r="L161" i="7" s="1"/>
  <c r="M161" i="7" s="1"/>
  <c r="C118" i="8"/>
  <c r="E118" i="8" s="1"/>
  <c r="F118" i="8" s="1"/>
  <c r="E50" i="10"/>
  <c r="E52" i="10" s="1"/>
  <c r="E58" i="10" s="1"/>
  <c r="E60" i="10" s="1"/>
  <c r="U38" i="9"/>
  <c r="E163" i="7"/>
  <c r="F163" i="7" s="1"/>
  <c r="G163" i="7" s="1"/>
  <c r="H163" i="7" s="1"/>
  <c r="I163" i="7" s="1"/>
  <c r="J163" i="7" s="1"/>
  <c r="K163" i="7" s="1"/>
  <c r="L163" i="7" s="1"/>
  <c r="M163" i="7" s="1"/>
  <c r="G17" i="9"/>
  <c r="T17" i="9" s="1"/>
  <c r="U17" i="9" s="1"/>
  <c r="G19" i="9"/>
  <c r="V13" i="9"/>
  <c r="G21" i="9"/>
  <c r="D5" i="11"/>
  <c r="D5" i="10"/>
  <c r="G5" i="9"/>
  <c r="F21" i="9"/>
  <c r="F109" i="8"/>
  <c r="K202" i="7"/>
  <c r="C154" i="7"/>
  <c r="E154" i="7" s="1"/>
  <c r="F154" i="7" s="1"/>
  <c r="G154" i="7" s="1"/>
  <c r="H154" i="7" s="1"/>
  <c r="I154" i="7" s="1"/>
  <c r="J154" i="7" s="1"/>
  <c r="K154" i="7" s="1"/>
  <c r="L154" i="7" s="1"/>
  <c r="M154" i="7" s="1"/>
  <c r="C112" i="8"/>
  <c r="E112" i="8" s="1"/>
  <c r="F112" i="8" s="1"/>
  <c r="F37" i="8"/>
  <c r="F46" i="8" s="1"/>
  <c r="F49" i="10"/>
  <c r="G120" i="8"/>
  <c r="G110" i="8"/>
  <c r="F22" i="10"/>
  <c r="E25" i="10"/>
  <c r="H9" i="9"/>
  <c r="H45" i="9" s="1"/>
  <c r="I8" i="9"/>
  <c r="E145" i="7"/>
  <c r="G23" i="9"/>
  <c r="C105" i="8" l="1"/>
  <c r="E105" i="8" s="1"/>
  <c r="C147" i="7"/>
  <c r="E147" i="7" s="1"/>
  <c r="E23" i="11"/>
  <c r="F82" i="7"/>
  <c r="H71" i="7"/>
  <c r="H173" i="7" s="1"/>
  <c r="H78" i="7"/>
  <c r="H180" i="7" s="1"/>
  <c r="H74" i="7"/>
  <c r="H176" i="7" s="1"/>
  <c r="H77" i="7"/>
  <c r="H179" i="7" s="1"/>
  <c r="H75" i="7"/>
  <c r="H177" i="7" s="1"/>
  <c r="J70" i="7"/>
  <c r="J172" i="7" s="1"/>
  <c r="F30" i="7"/>
  <c r="F11" i="26" s="1"/>
  <c r="D16" i="3"/>
  <c r="H46" i="9"/>
  <c r="F9" i="8"/>
  <c r="F11" i="25" s="1"/>
  <c r="G73" i="7"/>
  <c r="G175" i="7" s="1"/>
  <c r="H79" i="7"/>
  <c r="H181" i="7" s="1"/>
  <c r="H80" i="7"/>
  <c r="H182" i="7" s="1"/>
  <c r="G112" i="8"/>
  <c r="F24" i="10"/>
  <c r="B17" i="7"/>
  <c r="E5" i="11"/>
  <c r="E5" i="10"/>
  <c r="H5" i="9"/>
  <c r="G118" i="8"/>
  <c r="F47" i="10"/>
  <c r="F50" i="10" s="1"/>
  <c r="H81" i="7"/>
  <c r="H183" i="7" s="1"/>
  <c r="C113" i="8"/>
  <c r="W16" i="9"/>
  <c r="H76" i="7"/>
  <c r="H178" i="7" s="1"/>
  <c r="W14" i="9"/>
  <c r="C156" i="7"/>
  <c r="M18" i="7"/>
  <c r="I18" i="7" s="1"/>
  <c r="C12" i="7"/>
  <c r="H119" i="8"/>
  <c r="G48" i="10"/>
  <c r="H120" i="8"/>
  <c r="G49" i="10"/>
  <c r="C184" i="7"/>
  <c r="E158" i="7"/>
  <c r="E184" i="7" s="1"/>
  <c r="G24" i="9"/>
  <c r="G28" i="9"/>
  <c r="I9" i="9"/>
  <c r="J8" i="9"/>
  <c r="H110" i="8"/>
  <c r="G22" i="10"/>
  <c r="V17" i="9"/>
  <c r="V38" i="9"/>
  <c r="H111" i="8"/>
  <c r="G23" i="10"/>
  <c r="I69" i="7"/>
  <c r="I171" i="7" s="1"/>
  <c r="H72" i="7"/>
  <c r="H174" i="7" s="1"/>
  <c r="W15" i="9"/>
  <c r="V45" i="9"/>
  <c r="H28" i="3"/>
  <c r="G29" i="3"/>
  <c r="E141" i="8"/>
  <c r="F7" i="11"/>
  <c r="D8" i="3"/>
  <c r="H26" i="9"/>
  <c r="H13" i="9"/>
  <c r="F8" i="11" s="1"/>
  <c r="F13" i="11" s="1"/>
  <c r="F15" i="10" s="1"/>
  <c r="H16" i="9"/>
  <c r="H10" i="9"/>
  <c r="H17" i="9" s="1"/>
  <c r="H15" i="9"/>
  <c r="H14" i="9"/>
  <c r="L202" i="7"/>
  <c r="F141" i="8"/>
  <c r="G109" i="8"/>
  <c r="F21" i="10"/>
  <c r="T33" i="9"/>
  <c r="U33" i="9" s="1"/>
  <c r="V33" i="9" s="1"/>
  <c r="W33" i="9" s="1"/>
  <c r="X33" i="9" s="1"/>
  <c r="Y33" i="9" s="1"/>
  <c r="Z33" i="9" s="1"/>
  <c r="AA33" i="9" s="1"/>
  <c r="AB33" i="9" s="1"/>
  <c r="AC33" i="9" s="1"/>
  <c r="W13" i="9"/>
  <c r="C132" i="8"/>
  <c r="E115" i="8"/>
  <c r="E132" i="8" s="1"/>
  <c r="E113" i="8"/>
  <c r="N41" i="9"/>
  <c r="C188" i="7" l="1"/>
  <c r="F142" i="8"/>
  <c r="F13" i="8" s="1"/>
  <c r="H73" i="7"/>
  <c r="H175" i="7" s="1"/>
  <c r="I81" i="7"/>
  <c r="I183" i="7" s="1"/>
  <c r="K70" i="7"/>
  <c r="K172" i="7" s="1"/>
  <c r="I80" i="7"/>
  <c r="I182" i="7" s="1"/>
  <c r="I75" i="7"/>
  <c r="I177" i="7" s="1"/>
  <c r="I78" i="7"/>
  <c r="I180" i="7" s="1"/>
  <c r="J69" i="7"/>
  <c r="J171" i="7" s="1"/>
  <c r="I79" i="7"/>
  <c r="I181" i="7"/>
  <c r="I77" i="7"/>
  <c r="I179" i="7" s="1"/>
  <c r="I71" i="7"/>
  <c r="I173" i="7" s="1"/>
  <c r="M202" i="7"/>
  <c r="I111" i="8"/>
  <c r="H23" i="10"/>
  <c r="E138" i="8"/>
  <c r="E8" i="3"/>
  <c r="G7" i="11"/>
  <c r="I33" i="9"/>
  <c r="I26" i="9"/>
  <c r="I10" i="9"/>
  <c r="I17" i="9" s="1"/>
  <c r="I16" i="9"/>
  <c r="I14" i="9"/>
  <c r="I13" i="9"/>
  <c r="G8" i="11" s="1"/>
  <c r="G13" i="11" s="1"/>
  <c r="G15" i="10" s="1"/>
  <c r="I15" i="9"/>
  <c r="X14" i="9"/>
  <c r="E190" i="7"/>
  <c r="F26" i="7"/>
  <c r="F5" i="11"/>
  <c r="R5" i="11" s="1"/>
  <c r="D6" i="3"/>
  <c r="F5" i="8"/>
  <c r="F5" i="10"/>
  <c r="I5" i="9"/>
  <c r="T5" i="9"/>
  <c r="F37" i="7"/>
  <c r="F150" i="7" s="1"/>
  <c r="D10" i="3"/>
  <c r="D15" i="3" s="1"/>
  <c r="F16" i="8"/>
  <c r="F108" i="8" s="1"/>
  <c r="W45" i="9"/>
  <c r="W17" i="9"/>
  <c r="H18" i="9"/>
  <c r="H33" i="9"/>
  <c r="E136" i="8"/>
  <c r="X13" i="9"/>
  <c r="G141" i="8"/>
  <c r="G142" i="8" s="1"/>
  <c r="G13" i="8" s="1"/>
  <c r="H109" i="8"/>
  <c r="G21" i="10"/>
  <c r="H29" i="3"/>
  <c r="I28" i="3"/>
  <c r="X15" i="9"/>
  <c r="W38" i="9"/>
  <c r="C17" i="7"/>
  <c r="C7" i="7" s="1"/>
  <c r="C13" i="7" s="1"/>
  <c r="M5" i="7" s="1"/>
  <c r="G29" i="9"/>
  <c r="I119" i="8"/>
  <c r="H48" i="10"/>
  <c r="H112" i="8"/>
  <c r="G24" i="10"/>
  <c r="I45" i="9"/>
  <c r="I110" i="8"/>
  <c r="H22" i="10"/>
  <c r="X16" i="9"/>
  <c r="I74" i="7"/>
  <c r="I176" i="7" s="1"/>
  <c r="O41" i="9"/>
  <c r="F18" i="11"/>
  <c r="F14" i="11"/>
  <c r="F16" i="10" s="1"/>
  <c r="F12" i="11"/>
  <c r="F14" i="10" s="1"/>
  <c r="F19" i="11"/>
  <c r="F31" i="10" s="1"/>
  <c r="F11" i="11"/>
  <c r="I72" i="7"/>
  <c r="I174" i="7" s="1"/>
  <c r="J9" i="9"/>
  <c r="J45" i="9" s="1"/>
  <c r="K8" i="9"/>
  <c r="I120" i="8"/>
  <c r="H49" i="10"/>
  <c r="I76" i="7"/>
  <c r="I178" i="7" s="1"/>
  <c r="C136" i="8"/>
  <c r="H118" i="8"/>
  <c r="G47" i="10"/>
  <c r="G50" i="10" s="1"/>
  <c r="J71" i="7" l="1"/>
  <c r="J173" i="7" s="1"/>
  <c r="K69" i="7"/>
  <c r="K171" i="7" s="1"/>
  <c r="J77" i="7"/>
  <c r="J179" i="7" s="1"/>
  <c r="J78" i="7"/>
  <c r="J180" i="7" s="1"/>
  <c r="L70" i="7"/>
  <c r="L172" i="7" s="1"/>
  <c r="F16" i="3"/>
  <c r="H30" i="7"/>
  <c r="H11" i="26" s="1"/>
  <c r="H9" i="8"/>
  <c r="H11" i="25" s="1"/>
  <c r="J46" i="9"/>
  <c r="J72" i="7"/>
  <c r="J174" i="7" s="1"/>
  <c r="J75" i="7"/>
  <c r="J177" i="7" s="1"/>
  <c r="J81" i="7"/>
  <c r="J183" i="7" s="1"/>
  <c r="J76" i="7"/>
  <c r="J178" i="7" s="1"/>
  <c r="J74" i="7"/>
  <c r="J176" i="7" s="1"/>
  <c r="I73" i="7"/>
  <c r="I175" i="7" s="1"/>
  <c r="I118" i="8"/>
  <c r="H47" i="10"/>
  <c r="H50" i="10" s="1"/>
  <c r="J110" i="8"/>
  <c r="I22" i="10"/>
  <c r="I29" i="3"/>
  <c r="J28" i="3"/>
  <c r="F136" i="7"/>
  <c r="F29" i="7"/>
  <c r="F94" i="8"/>
  <c r="F8" i="8"/>
  <c r="F155" i="8"/>
  <c r="F101" i="8"/>
  <c r="F147" i="8"/>
  <c r="F50" i="8"/>
  <c r="F20" i="8"/>
  <c r="F90" i="8"/>
  <c r="F73" i="8"/>
  <c r="F58" i="8"/>
  <c r="F35" i="8"/>
  <c r="G136" i="7"/>
  <c r="G29" i="7"/>
  <c r="G94" i="8"/>
  <c r="G8" i="8"/>
  <c r="J79" i="7"/>
  <c r="J181" i="7" s="1"/>
  <c r="J80" i="7"/>
  <c r="J182" i="7" s="1"/>
  <c r="J120" i="8"/>
  <c r="I49" i="10"/>
  <c r="P41" i="9"/>
  <c r="G30" i="7"/>
  <c r="G11" i="26" s="1"/>
  <c r="E16" i="3"/>
  <c r="I46" i="9"/>
  <c r="G9" i="8"/>
  <c r="G11" i="25" s="1"/>
  <c r="J119" i="8"/>
  <c r="I48" i="10"/>
  <c r="X38" i="9"/>
  <c r="H19" i="9"/>
  <c r="H21" i="9"/>
  <c r="H23" i="9"/>
  <c r="X45" i="9"/>
  <c r="B46" i="3"/>
  <c r="D24" i="3"/>
  <c r="G19" i="11"/>
  <c r="G31" i="10" s="1"/>
  <c r="G11" i="11"/>
  <c r="G18" i="11"/>
  <c r="G14" i="11"/>
  <c r="G16" i="10" s="1"/>
  <c r="G12" i="11"/>
  <c r="G14" i="10" s="1"/>
  <c r="J111" i="8"/>
  <c r="I23" i="10"/>
  <c r="K9" i="9"/>
  <c r="L8" i="9"/>
  <c r="F15" i="11"/>
  <c r="F13" i="10"/>
  <c r="F17" i="10" s="1"/>
  <c r="F20" i="11"/>
  <c r="F30" i="10"/>
  <c r="F32" i="10" s="1"/>
  <c r="Y16" i="9"/>
  <c r="Y13" i="9"/>
  <c r="F20" i="10"/>
  <c r="F25" i="10" s="1"/>
  <c r="G26" i="7"/>
  <c r="E6" i="3"/>
  <c r="E24" i="3" s="1"/>
  <c r="G5" i="11"/>
  <c r="S5" i="11" s="1"/>
  <c r="G5" i="8"/>
  <c r="G5" i="10"/>
  <c r="U5" i="9"/>
  <c r="J5" i="9"/>
  <c r="Y14" i="9"/>
  <c r="H7" i="11"/>
  <c r="F8" i="3"/>
  <c r="J26" i="9"/>
  <c r="J33" i="9"/>
  <c r="J10" i="9"/>
  <c r="J17" i="9" s="1"/>
  <c r="J16" i="9"/>
  <c r="J14" i="9"/>
  <c r="J15" i="9"/>
  <c r="J13" i="9"/>
  <c r="H8" i="11" s="1"/>
  <c r="H13" i="11" s="1"/>
  <c r="H15" i="10" s="1"/>
  <c r="I112" i="8"/>
  <c r="H24" i="10"/>
  <c r="M20" i="7"/>
  <c r="I19" i="7" s="1"/>
  <c r="D151" i="7"/>
  <c r="E151" i="7" s="1"/>
  <c r="Y15" i="9"/>
  <c r="H141" i="8"/>
  <c r="H142" i="8" s="1"/>
  <c r="H13" i="8" s="1"/>
  <c r="I109" i="8"/>
  <c r="H21" i="10"/>
  <c r="X17" i="9"/>
  <c r="F199" i="7"/>
  <c r="F214" i="7"/>
  <c r="F63" i="7"/>
  <c r="F131" i="7"/>
  <c r="F104" i="7"/>
  <c r="F143" i="7"/>
  <c r="F94" i="7"/>
  <c r="F86" i="7"/>
  <c r="F41" i="7"/>
  <c r="I18" i="9"/>
  <c r="G37" i="7"/>
  <c r="E10" i="3"/>
  <c r="E15" i="3" s="1"/>
  <c r="G16" i="8"/>
  <c r="G108" i="8" s="1"/>
  <c r="G150" i="7" l="1"/>
  <c r="G20" i="10"/>
  <c r="G25" i="10" s="1"/>
  <c r="K81" i="7"/>
  <c r="K183" i="7" s="1"/>
  <c r="K78" i="7"/>
  <c r="K180" i="7" s="1"/>
  <c r="J73" i="7"/>
  <c r="J175" i="7" s="1"/>
  <c r="K75" i="7"/>
  <c r="K177" i="7" s="1"/>
  <c r="K77" i="7"/>
  <c r="K179" i="7" s="1"/>
  <c r="K80" i="7"/>
  <c r="K182" i="7" s="1"/>
  <c r="K74" i="7"/>
  <c r="K176" i="7" s="1"/>
  <c r="K72" i="7"/>
  <c r="K174" i="7" s="1"/>
  <c r="L69" i="7"/>
  <c r="L171" i="7" s="1"/>
  <c r="K79" i="7"/>
  <c r="K181" i="7" s="1"/>
  <c r="K178" i="7"/>
  <c r="K76" i="7"/>
  <c r="M70" i="7"/>
  <c r="M172" i="7" s="1"/>
  <c r="K173" i="7"/>
  <c r="K71" i="7"/>
  <c r="E193" i="7"/>
  <c r="F151" i="7"/>
  <c r="E156" i="7"/>
  <c r="H37" i="7"/>
  <c r="F10" i="3"/>
  <c r="F15" i="3" s="1"/>
  <c r="H16" i="8"/>
  <c r="H108" i="8" s="1"/>
  <c r="G199" i="7"/>
  <c r="G143" i="7"/>
  <c r="G131" i="7"/>
  <c r="G214" i="7"/>
  <c r="G41" i="7"/>
  <c r="G104" i="7"/>
  <c r="G94" i="7"/>
  <c r="G86" i="7"/>
  <c r="G63" i="7"/>
  <c r="Z13" i="9"/>
  <c r="F158" i="7"/>
  <c r="F115" i="8"/>
  <c r="G8" i="3"/>
  <c r="I7" i="11"/>
  <c r="K33" i="9"/>
  <c r="K26" i="9"/>
  <c r="K10" i="9"/>
  <c r="K17" i="9" s="1"/>
  <c r="K15" i="9"/>
  <c r="K14" i="9"/>
  <c r="K13" i="9"/>
  <c r="I8" i="11" s="1"/>
  <c r="I13" i="11" s="1"/>
  <c r="I15" i="10" s="1"/>
  <c r="K16" i="9"/>
  <c r="F133" i="7"/>
  <c r="F92" i="8"/>
  <c r="H24" i="9"/>
  <c r="H28" i="9"/>
  <c r="Y38" i="9"/>
  <c r="J29" i="3"/>
  <c r="K28" i="3"/>
  <c r="Z14" i="9"/>
  <c r="G147" i="8"/>
  <c r="G90" i="8"/>
  <c r="G155" i="8"/>
  <c r="G35" i="8"/>
  <c r="G101" i="8"/>
  <c r="G50" i="8"/>
  <c r="G20" i="8"/>
  <c r="G73" i="8"/>
  <c r="G58" i="8"/>
  <c r="G20" i="11"/>
  <c r="G30" i="10"/>
  <c r="G32" i="10" s="1"/>
  <c r="Q41" i="9"/>
  <c r="J118" i="8"/>
  <c r="I47" i="10"/>
  <c r="I50" i="10" s="1"/>
  <c r="D186" i="7"/>
  <c r="E186" i="7" s="1"/>
  <c r="I20" i="7"/>
  <c r="I22" i="7" s="1"/>
  <c r="Y17" i="9"/>
  <c r="H136" i="7"/>
  <c r="H29" i="7"/>
  <c r="H94" i="8"/>
  <c r="H8" i="8"/>
  <c r="H14" i="11"/>
  <c r="H16" i="10" s="1"/>
  <c r="H12" i="11"/>
  <c r="H14" i="10" s="1"/>
  <c r="H19" i="11"/>
  <c r="H31" i="10" s="1"/>
  <c r="H11" i="11"/>
  <c r="H18" i="11"/>
  <c r="H5" i="11"/>
  <c r="T5" i="11" s="1"/>
  <c r="H26" i="7"/>
  <c r="F6" i="3"/>
  <c r="F24" i="3" s="1"/>
  <c r="H5" i="8"/>
  <c r="H5" i="10"/>
  <c r="V5" i="9"/>
  <c r="K5" i="9"/>
  <c r="Z16" i="9"/>
  <c r="F147" i="7"/>
  <c r="F22" i="11"/>
  <c r="F23" i="11" s="1"/>
  <c r="D17" i="3" s="1"/>
  <c r="F105" i="8"/>
  <c r="K111" i="8"/>
  <c r="J23" i="10"/>
  <c r="G15" i="11"/>
  <c r="G13" i="10"/>
  <c r="G17" i="10" s="1"/>
  <c r="K45" i="9"/>
  <c r="K119" i="8"/>
  <c r="J48" i="10"/>
  <c r="I141" i="8"/>
  <c r="I142" i="8" s="1"/>
  <c r="I13" i="8" s="1"/>
  <c r="J109" i="8"/>
  <c r="I21" i="10"/>
  <c r="I19" i="9"/>
  <c r="I21" i="9"/>
  <c r="I23" i="9"/>
  <c r="Z15" i="9"/>
  <c r="J112" i="8"/>
  <c r="I24" i="10"/>
  <c r="J18" i="9"/>
  <c r="L9" i="9"/>
  <c r="M8" i="9"/>
  <c r="Y45" i="9"/>
  <c r="J49" i="10"/>
  <c r="K120" i="8"/>
  <c r="K110" i="8"/>
  <c r="J22" i="10"/>
  <c r="H150" i="7" l="1"/>
  <c r="F190" i="7"/>
  <c r="F191" i="7" s="1"/>
  <c r="F33" i="7" s="1"/>
  <c r="F138" i="8"/>
  <c r="F139" i="8" s="1"/>
  <c r="F12" i="8" s="1"/>
  <c r="H20" i="10"/>
  <c r="H25" i="10" s="1"/>
  <c r="L74" i="7"/>
  <c r="L176" i="7" s="1"/>
  <c r="K73" i="7"/>
  <c r="K175" i="7" s="1"/>
  <c r="L80" i="7"/>
  <c r="L182" i="7" s="1"/>
  <c r="L78" i="7"/>
  <c r="L180" i="7" s="1"/>
  <c r="L77" i="7"/>
  <c r="L179" i="7" s="1"/>
  <c r="L81" i="7"/>
  <c r="L183" i="7" s="1"/>
  <c r="M69" i="7"/>
  <c r="M171" i="7" s="1"/>
  <c r="L72" i="7"/>
  <c r="L174" i="7" s="1"/>
  <c r="L75" i="7"/>
  <c r="L177" i="7" s="1"/>
  <c r="J7" i="11"/>
  <c r="H8" i="3"/>
  <c r="L33" i="9"/>
  <c r="L26" i="9"/>
  <c r="L10" i="9"/>
  <c r="L17" i="9" s="1"/>
  <c r="L13" i="9"/>
  <c r="J8" i="11" s="1"/>
  <c r="J13" i="11" s="1"/>
  <c r="J15" i="10" s="1"/>
  <c r="L15" i="9"/>
  <c r="L16" i="9"/>
  <c r="L14" i="9"/>
  <c r="L120" i="8"/>
  <c r="K49" i="10"/>
  <c r="M9" i="9"/>
  <c r="N8" i="9"/>
  <c r="G133" i="7"/>
  <c r="I28" i="9"/>
  <c r="G92" i="8"/>
  <c r="I24" i="9"/>
  <c r="K109" i="8"/>
  <c r="J141" i="8"/>
  <c r="J142" i="8" s="1"/>
  <c r="J13" i="8" s="1"/>
  <c r="J21" i="10"/>
  <c r="I30" i="7"/>
  <c r="I11" i="26" s="1"/>
  <c r="G16" i="3"/>
  <c r="I9" i="8"/>
  <c r="I11" i="25" s="1"/>
  <c r="K46" i="9"/>
  <c r="L111" i="8"/>
  <c r="K23" i="10"/>
  <c r="Z17" i="9"/>
  <c r="K118" i="8"/>
  <c r="J47" i="10"/>
  <c r="J50" i="10" s="1"/>
  <c r="Z38" i="9"/>
  <c r="I37" i="7"/>
  <c r="G10" i="3"/>
  <c r="G15" i="3" s="1"/>
  <c r="I16" i="8"/>
  <c r="E188" i="7"/>
  <c r="L71" i="7"/>
  <c r="L173" i="7" s="1"/>
  <c r="L76" i="7"/>
  <c r="L178" i="7" s="1"/>
  <c r="AA16" i="9"/>
  <c r="H147" i="8"/>
  <c r="H155" i="8"/>
  <c r="H73" i="8"/>
  <c r="H90" i="8"/>
  <c r="H58" i="8"/>
  <c r="H101" i="8"/>
  <c r="H50" i="8"/>
  <c r="H35" i="8"/>
  <c r="H20" i="8"/>
  <c r="H20" i="11"/>
  <c r="H30" i="10"/>
  <c r="H32" i="10" s="1"/>
  <c r="L28" i="3"/>
  <c r="K29" i="3"/>
  <c r="F28" i="7"/>
  <c r="D9" i="3"/>
  <c r="D11" i="3" s="1"/>
  <c r="F7" i="8"/>
  <c r="H29" i="9"/>
  <c r="K18" i="9"/>
  <c r="I136" i="7"/>
  <c r="I29" i="7"/>
  <c r="I94" i="8"/>
  <c r="I8" i="8"/>
  <c r="F193" i="7"/>
  <c r="F194" i="7" s="1"/>
  <c r="F34" i="7" s="1"/>
  <c r="G151" i="7"/>
  <c r="K112" i="8"/>
  <c r="J24" i="10"/>
  <c r="E205" i="7"/>
  <c r="I18" i="11"/>
  <c r="I14" i="11"/>
  <c r="I16" i="10" s="1"/>
  <c r="I12" i="11"/>
  <c r="I14" i="10" s="1"/>
  <c r="I19" i="11"/>
  <c r="I31" i="10" s="1"/>
  <c r="I11" i="11"/>
  <c r="L79" i="7"/>
  <c r="L181" i="7" s="1"/>
  <c r="L45" i="9"/>
  <c r="G147" i="7"/>
  <c r="G22" i="11"/>
  <c r="G23" i="11" s="1"/>
  <c r="E17" i="3" s="1"/>
  <c r="G105" i="8"/>
  <c r="I26" i="7"/>
  <c r="G6" i="3"/>
  <c r="G24" i="3" s="1"/>
  <c r="I5" i="11"/>
  <c r="U5" i="11" s="1"/>
  <c r="I5" i="8"/>
  <c r="I5" i="10"/>
  <c r="L5" i="9"/>
  <c r="W5" i="9"/>
  <c r="H15" i="11"/>
  <c r="H13" i="10"/>
  <c r="H17" i="10" s="1"/>
  <c r="L110" i="8"/>
  <c r="K22" i="10"/>
  <c r="Z45" i="9"/>
  <c r="M45" i="9"/>
  <c r="J19" i="9"/>
  <c r="J23" i="9"/>
  <c r="J21" i="9"/>
  <c r="AA15" i="9"/>
  <c r="L119" i="8"/>
  <c r="K48" i="10"/>
  <c r="H214" i="7"/>
  <c r="H199" i="7"/>
  <c r="H143" i="7"/>
  <c r="H131" i="7"/>
  <c r="H104" i="7"/>
  <c r="H94" i="7"/>
  <c r="H86" i="7"/>
  <c r="H63" i="7"/>
  <c r="H41" i="7"/>
  <c r="G158" i="7"/>
  <c r="G115" i="8"/>
  <c r="AA14" i="9"/>
  <c r="AA13" i="9"/>
  <c r="I108" i="8" l="1"/>
  <c r="I150" i="7"/>
  <c r="M80" i="7"/>
  <c r="M182" i="7" s="1"/>
  <c r="M81" i="7"/>
  <c r="M183" i="7" s="1"/>
  <c r="L73" i="7"/>
  <c r="L175" i="7" s="1"/>
  <c r="M77" i="7"/>
  <c r="M179" i="7" s="1"/>
  <c r="M74" i="7"/>
  <c r="M176" i="7" s="1"/>
  <c r="M173" i="7"/>
  <c r="M71" i="7"/>
  <c r="M79" i="7"/>
  <c r="M181" i="7" s="1"/>
  <c r="I20" i="10"/>
  <c r="I25" i="10" s="1"/>
  <c r="M78" i="7"/>
  <c r="M180" i="7" s="1"/>
  <c r="AB13" i="9"/>
  <c r="AA45" i="9"/>
  <c r="H147" i="7"/>
  <c r="H22" i="11"/>
  <c r="H23" i="11" s="1"/>
  <c r="F17" i="3" s="1"/>
  <c r="H105" i="8"/>
  <c r="I155" i="8"/>
  <c r="I101" i="8"/>
  <c r="I147" i="8"/>
  <c r="I73" i="8"/>
  <c r="I35" i="8"/>
  <c r="I58" i="8"/>
  <c r="I90" i="8"/>
  <c r="I50" i="8"/>
  <c r="I20" i="8"/>
  <c r="G138" i="8"/>
  <c r="G139" i="8" s="1"/>
  <c r="G12" i="8" s="1"/>
  <c r="L112" i="8"/>
  <c r="K24" i="10"/>
  <c r="D12" i="3"/>
  <c r="D13" i="3" s="1"/>
  <c r="D18" i="3" s="1"/>
  <c r="D30" i="3" s="1"/>
  <c r="D31" i="3" s="1"/>
  <c r="AA38" i="9"/>
  <c r="L118" i="8"/>
  <c r="K47" i="10"/>
  <c r="K50" i="10" s="1"/>
  <c r="M111" i="8"/>
  <c r="L23" i="10"/>
  <c r="O8" i="9"/>
  <c r="N9" i="9"/>
  <c r="M75" i="7"/>
  <c r="M177" i="7" s="1"/>
  <c r="L48" i="10"/>
  <c r="M119" i="8"/>
  <c r="H133" i="7"/>
  <c r="H92" i="8"/>
  <c r="J24" i="9"/>
  <c r="J28" i="9"/>
  <c r="H151" i="7"/>
  <c r="G193" i="7"/>
  <c r="G194" i="7" s="1"/>
  <c r="G34" i="7" s="1"/>
  <c r="K19" i="9"/>
  <c r="K23" i="9"/>
  <c r="K21" i="9"/>
  <c r="F203" i="7"/>
  <c r="AB16" i="9"/>
  <c r="M76" i="7"/>
  <c r="M178" i="7" s="1"/>
  <c r="I8" i="3"/>
  <c r="K7" i="11"/>
  <c r="M33" i="9"/>
  <c r="M26" i="9"/>
  <c r="M10" i="9"/>
  <c r="M17" i="9" s="1"/>
  <c r="M13" i="9"/>
  <c r="K8" i="11" s="1"/>
  <c r="K13" i="11" s="1"/>
  <c r="K15" i="10" s="1"/>
  <c r="M14" i="9"/>
  <c r="M15" i="9"/>
  <c r="M16" i="9"/>
  <c r="L18" i="9"/>
  <c r="AB14" i="9"/>
  <c r="M110" i="8"/>
  <c r="L22" i="10"/>
  <c r="J26" i="7"/>
  <c r="J5" i="11"/>
  <c r="V5" i="11" s="1"/>
  <c r="H6" i="3"/>
  <c r="H24" i="3" s="1"/>
  <c r="J5" i="8"/>
  <c r="J5" i="10"/>
  <c r="M5" i="9"/>
  <c r="X5" i="9"/>
  <c r="G190" i="7"/>
  <c r="G191" i="7" s="1"/>
  <c r="G33" i="7" s="1"/>
  <c r="H158" i="7"/>
  <c r="H115" i="8"/>
  <c r="AA17" i="9"/>
  <c r="G28" i="7"/>
  <c r="E9" i="3"/>
  <c r="E11" i="3" s="1"/>
  <c r="G7" i="8"/>
  <c r="I29" i="9"/>
  <c r="J37" i="7"/>
  <c r="H10" i="3"/>
  <c r="H15" i="3" s="1"/>
  <c r="J16" i="8"/>
  <c r="J19" i="11"/>
  <c r="J31" i="10" s="1"/>
  <c r="J11" i="11"/>
  <c r="J18" i="11"/>
  <c r="J14" i="11"/>
  <c r="J16" i="10" s="1"/>
  <c r="J12" i="11"/>
  <c r="J14" i="10" s="1"/>
  <c r="M72" i="7"/>
  <c r="M174" i="7" s="1"/>
  <c r="AB15" i="9"/>
  <c r="K30" i="7"/>
  <c r="K11" i="26" s="1"/>
  <c r="I16" i="3"/>
  <c r="K9" i="8"/>
  <c r="K11" i="25" s="1"/>
  <c r="M46" i="9"/>
  <c r="I214" i="7"/>
  <c r="I199" i="7"/>
  <c r="I143" i="7"/>
  <c r="I104" i="7"/>
  <c r="I131" i="7"/>
  <c r="I94" i="7"/>
  <c r="I86" i="7"/>
  <c r="I41" i="7"/>
  <c r="I63" i="7"/>
  <c r="J30" i="7"/>
  <c r="J11" i="26" s="1"/>
  <c r="H16" i="3"/>
  <c r="J9" i="8"/>
  <c r="J11" i="25" s="1"/>
  <c r="L46" i="9"/>
  <c r="I15" i="11"/>
  <c r="I13" i="10"/>
  <c r="I17" i="10" s="1"/>
  <c r="I20" i="11"/>
  <c r="I30" i="10"/>
  <c r="I32" i="10" s="1"/>
  <c r="L29" i="3"/>
  <c r="M28" i="3"/>
  <c r="M29" i="3" s="1"/>
  <c r="K141" i="8"/>
  <c r="K142" i="8" s="1"/>
  <c r="K13" i="8" s="1"/>
  <c r="L109" i="8"/>
  <c r="K21" i="10"/>
  <c r="M120" i="8"/>
  <c r="L49" i="10"/>
  <c r="J136" i="7"/>
  <c r="J29" i="7"/>
  <c r="J94" i="8"/>
  <c r="J8" i="8"/>
  <c r="J108" i="8" l="1"/>
  <c r="M18" i="9"/>
  <c r="M19" i="9" s="1"/>
  <c r="J150" i="7"/>
  <c r="M73" i="7"/>
  <c r="M175" i="7" s="1"/>
  <c r="J20" i="10"/>
  <c r="J25" i="10" s="1"/>
  <c r="N120" i="8"/>
  <c r="M49" i="10"/>
  <c r="I147" i="7"/>
  <c r="I105" i="8"/>
  <c r="I22" i="11"/>
  <c r="I23" i="11" s="1"/>
  <c r="G17" i="3" s="1"/>
  <c r="N110" i="8"/>
  <c r="M22" i="10"/>
  <c r="K136" i="7"/>
  <c r="K29" i="7"/>
  <c r="K8" i="8"/>
  <c r="K94" i="8"/>
  <c r="H138" i="8"/>
  <c r="H139" i="8" s="1"/>
  <c r="H12" i="8" s="1"/>
  <c r="AB45" i="9"/>
  <c r="AC13" i="9"/>
  <c r="AB17" i="9"/>
  <c r="K26" i="7"/>
  <c r="I6" i="3"/>
  <c r="I24" i="3" s="1"/>
  <c r="K5" i="11"/>
  <c r="W5" i="11" s="1"/>
  <c r="K5" i="8"/>
  <c r="K5" i="10"/>
  <c r="N5" i="9"/>
  <c r="Y5" i="9"/>
  <c r="K19" i="11"/>
  <c r="K31" i="10" s="1"/>
  <c r="K11" i="11"/>
  <c r="K18" i="11"/>
  <c r="K14" i="11"/>
  <c r="K16" i="10" s="1"/>
  <c r="K12" i="11"/>
  <c r="K14" i="10" s="1"/>
  <c r="F217" i="7"/>
  <c r="H193" i="7"/>
  <c r="H194" i="7" s="1"/>
  <c r="H34" i="7" s="1"/>
  <c r="I151" i="7"/>
  <c r="N111" i="8"/>
  <c r="M23" i="10"/>
  <c r="AB38" i="9"/>
  <c r="M112" i="8"/>
  <c r="L24" i="10"/>
  <c r="I158" i="7"/>
  <c r="I115" i="8"/>
  <c r="J20" i="11"/>
  <c r="J30" i="10"/>
  <c r="J32" i="10" s="1"/>
  <c r="E12" i="3"/>
  <c r="E13" i="3" s="1"/>
  <c r="E18" i="3" s="1"/>
  <c r="E30" i="3" s="1"/>
  <c r="E31" i="3" s="1"/>
  <c r="J199" i="7"/>
  <c r="J104" i="7"/>
  <c r="J63" i="7"/>
  <c r="J143" i="7"/>
  <c r="J214" i="7"/>
  <c r="J131" i="7"/>
  <c r="J94" i="7"/>
  <c r="J86" i="7"/>
  <c r="J41" i="7"/>
  <c r="AC14" i="9"/>
  <c r="M23" i="9"/>
  <c r="I133" i="7"/>
  <c r="I92" i="8"/>
  <c r="K24" i="9"/>
  <c r="K28" i="9"/>
  <c r="F9" i="3"/>
  <c r="F11" i="3" s="1"/>
  <c r="H28" i="7"/>
  <c r="H7" i="8"/>
  <c r="J29" i="9"/>
  <c r="N119" i="8"/>
  <c r="M48" i="10"/>
  <c r="L7" i="11"/>
  <c r="J8" i="3"/>
  <c r="N26" i="9"/>
  <c r="N33" i="9"/>
  <c r="N10" i="9"/>
  <c r="N17" i="9" s="1"/>
  <c r="N15" i="9"/>
  <c r="N13" i="9"/>
  <c r="L8" i="11" s="1"/>
  <c r="L13" i="11" s="1"/>
  <c r="L15" i="10" s="1"/>
  <c r="N16" i="9"/>
  <c r="N14" i="9"/>
  <c r="H190" i="7"/>
  <c r="H191" i="7" s="1"/>
  <c r="H33" i="7" s="1"/>
  <c r="L141" i="8"/>
  <c r="L142" i="8" s="1"/>
  <c r="L13" i="8" s="1"/>
  <c r="M109" i="8"/>
  <c r="L21" i="10"/>
  <c r="AC15" i="9"/>
  <c r="J15" i="11"/>
  <c r="J13" i="10"/>
  <c r="J17" i="10" s="1"/>
  <c r="G203" i="7"/>
  <c r="J155" i="8"/>
  <c r="J101" i="8"/>
  <c r="J90" i="8"/>
  <c r="J73" i="8"/>
  <c r="J50" i="8"/>
  <c r="J20" i="8"/>
  <c r="J58" i="8"/>
  <c r="J147" i="8"/>
  <c r="J35" i="8"/>
  <c r="L19" i="9"/>
  <c r="L21" i="9"/>
  <c r="L23" i="9"/>
  <c r="K37" i="7"/>
  <c r="I10" i="3"/>
  <c r="I15" i="3" s="1"/>
  <c r="K16" i="8"/>
  <c r="AC16" i="9"/>
  <c r="O9" i="9"/>
  <c r="P8" i="9"/>
  <c r="M118" i="8"/>
  <c r="L47" i="10"/>
  <c r="L50" i="10" s="1"/>
  <c r="N45" i="9"/>
  <c r="K108" i="8" l="1"/>
  <c r="K20" i="10" s="1"/>
  <c r="K25" i="10" s="1"/>
  <c r="M21" i="9"/>
  <c r="K150" i="7"/>
  <c r="J16" i="3"/>
  <c r="L30" i="7"/>
  <c r="L11" i="26" s="1"/>
  <c r="L9" i="8"/>
  <c r="L11" i="25" s="1"/>
  <c r="N46" i="9"/>
  <c r="P9" i="9"/>
  <c r="P45" i="9" s="1"/>
  <c r="Q8" i="9"/>
  <c r="Q9" i="9" s="1"/>
  <c r="J133" i="7"/>
  <c r="J92" i="8"/>
  <c r="L24" i="9"/>
  <c r="L28" i="9"/>
  <c r="G217" i="7"/>
  <c r="Q15" i="9"/>
  <c r="M141" i="8"/>
  <c r="M142" i="8" s="1"/>
  <c r="M13" i="8" s="1"/>
  <c r="N109" i="8"/>
  <c r="M21" i="10"/>
  <c r="N18" i="9"/>
  <c r="I28" i="7"/>
  <c r="G9" i="3"/>
  <c r="G11" i="3" s="1"/>
  <c r="I7" i="8"/>
  <c r="K29" i="9"/>
  <c r="Q14" i="9"/>
  <c r="K199" i="7"/>
  <c r="K214" i="7"/>
  <c r="K131" i="7"/>
  <c r="K41" i="7"/>
  <c r="K143" i="7"/>
  <c r="K94" i="7"/>
  <c r="K86" i="7"/>
  <c r="K104" i="7"/>
  <c r="K63" i="7"/>
  <c r="AC45" i="9"/>
  <c r="Q45" i="9" s="1"/>
  <c r="I190" i="7"/>
  <c r="I191" i="7" s="1"/>
  <c r="I33" i="7" s="1"/>
  <c r="J147" i="7"/>
  <c r="J22" i="11"/>
  <c r="J23" i="11" s="1"/>
  <c r="H17" i="3" s="1"/>
  <c r="J105" i="8"/>
  <c r="L136" i="7"/>
  <c r="L29" i="7"/>
  <c r="L94" i="8"/>
  <c r="L8" i="8"/>
  <c r="L11" i="11"/>
  <c r="L18" i="11"/>
  <c r="L14" i="11"/>
  <c r="L16" i="10" s="1"/>
  <c r="L12" i="11"/>
  <c r="L14" i="10" s="1"/>
  <c r="L19" i="11"/>
  <c r="L31" i="10" s="1"/>
  <c r="J158" i="7"/>
  <c r="J115" i="8"/>
  <c r="AC38" i="9"/>
  <c r="K90" i="8"/>
  <c r="K155" i="8"/>
  <c r="K101" i="8"/>
  <c r="K147" i="8"/>
  <c r="K35" i="8"/>
  <c r="K73" i="8"/>
  <c r="K50" i="8"/>
  <c r="K20" i="8"/>
  <c r="K58" i="8"/>
  <c r="O110" i="8"/>
  <c r="O22" i="10" s="1"/>
  <c r="N22" i="10"/>
  <c r="K8" i="3"/>
  <c r="M7" i="11"/>
  <c r="O33" i="9"/>
  <c r="O26" i="9"/>
  <c r="O10" i="9"/>
  <c r="O17" i="9" s="1"/>
  <c r="O13" i="9"/>
  <c r="M8" i="11" s="1"/>
  <c r="M13" i="11" s="1"/>
  <c r="M15" i="10" s="1"/>
  <c r="O16" i="9"/>
  <c r="O15" i="9"/>
  <c r="O14" i="9"/>
  <c r="H203" i="7"/>
  <c r="K133" i="7"/>
  <c r="K92" i="8"/>
  <c r="M28" i="9"/>
  <c r="M24" i="9"/>
  <c r="I193" i="7"/>
  <c r="I194" i="7" s="1"/>
  <c r="I34" i="7" s="1"/>
  <c r="J151" i="7"/>
  <c r="K20" i="11"/>
  <c r="K30" i="10"/>
  <c r="K32" i="10" s="1"/>
  <c r="Q13" i="9"/>
  <c r="O8" i="11" s="1"/>
  <c r="O13" i="11" s="1"/>
  <c r="O15" i="10" s="1"/>
  <c r="N49" i="10"/>
  <c r="O120" i="8"/>
  <c r="O49" i="10" s="1"/>
  <c r="N118" i="8"/>
  <c r="M47" i="10"/>
  <c r="M50" i="10" s="1"/>
  <c r="Q16" i="9"/>
  <c r="L37" i="7"/>
  <c r="L150" i="7" s="1"/>
  <c r="J10" i="3"/>
  <c r="J15" i="3" s="1"/>
  <c r="L16" i="8"/>
  <c r="O119" i="8"/>
  <c r="O48" i="10" s="1"/>
  <c r="N48" i="10"/>
  <c r="F12" i="3"/>
  <c r="F13" i="3" s="1"/>
  <c r="F18" i="3" s="1"/>
  <c r="F30" i="3" s="1"/>
  <c r="F31" i="3" s="1"/>
  <c r="N112" i="8"/>
  <c r="M24" i="10"/>
  <c r="O111" i="8"/>
  <c r="O23" i="10" s="1"/>
  <c r="N23" i="10"/>
  <c r="K15" i="11"/>
  <c r="K13" i="10"/>
  <c r="K17" i="10" s="1"/>
  <c r="L5" i="11"/>
  <c r="X5" i="11" s="1"/>
  <c r="L26" i="7"/>
  <c r="J6" i="3"/>
  <c r="J24" i="3" s="1"/>
  <c r="L5" i="10"/>
  <c r="L5" i="8"/>
  <c r="Z5" i="9"/>
  <c r="O5" i="9"/>
  <c r="AC17" i="9"/>
  <c r="O45" i="9"/>
  <c r="I138" i="8"/>
  <c r="I139" i="8" s="1"/>
  <c r="I12" i="8" s="1"/>
  <c r="L108" i="8" l="1"/>
  <c r="L20" i="10" s="1"/>
  <c r="L25" i="10" s="1"/>
  <c r="H217" i="7"/>
  <c r="M37" i="7"/>
  <c r="K10" i="3"/>
  <c r="K15" i="3" s="1"/>
  <c r="M16" i="8"/>
  <c r="L15" i="11"/>
  <c r="L13" i="10"/>
  <c r="L17" i="10" s="1"/>
  <c r="J190" i="7"/>
  <c r="J191" i="7" s="1"/>
  <c r="J33" i="7" s="1"/>
  <c r="L16" i="3"/>
  <c r="P46" i="9"/>
  <c r="N9" i="8"/>
  <c r="N11" i="25" s="1"/>
  <c r="G12" i="3"/>
  <c r="G13" i="3" s="1"/>
  <c r="G18" i="3" s="1"/>
  <c r="G30" i="3" s="1"/>
  <c r="G31" i="3" s="1"/>
  <c r="O109" i="8"/>
  <c r="N141" i="8"/>
  <c r="N142" i="8" s="1"/>
  <c r="N13" i="8" s="1"/>
  <c r="N21" i="10"/>
  <c r="N7" i="11"/>
  <c r="L8" i="3"/>
  <c r="P33" i="9"/>
  <c r="P26" i="9"/>
  <c r="P10" i="9"/>
  <c r="P17" i="9" s="1"/>
  <c r="P14" i="9"/>
  <c r="P15" i="9"/>
  <c r="P16" i="9"/>
  <c r="P13" i="9"/>
  <c r="N8" i="11" s="1"/>
  <c r="N13" i="11" s="1"/>
  <c r="N15" i="10" s="1"/>
  <c r="M136" i="7"/>
  <c r="M29" i="7"/>
  <c r="M94" i="8"/>
  <c r="M8" i="8"/>
  <c r="M16" i="3"/>
  <c r="Q46" i="9"/>
  <c r="O9" i="8"/>
  <c r="O11" i="25" s="1"/>
  <c r="I203" i="7"/>
  <c r="J28" i="7"/>
  <c r="H9" i="3"/>
  <c r="H11" i="3" s="1"/>
  <c r="J7" i="8"/>
  <c r="L29" i="9"/>
  <c r="K147" i="7"/>
  <c r="K22" i="11"/>
  <c r="K23" i="11" s="1"/>
  <c r="I17" i="3" s="1"/>
  <c r="K105" i="8"/>
  <c r="M30" i="7"/>
  <c r="M11" i="26" s="1"/>
  <c r="K16" i="3"/>
  <c r="M9" i="8"/>
  <c r="M11" i="25" s="1"/>
  <c r="O46" i="9"/>
  <c r="K158" i="7"/>
  <c r="K115" i="8"/>
  <c r="M18" i="11"/>
  <c r="M14" i="11"/>
  <c r="M16" i="10" s="1"/>
  <c r="M12" i="11"/>
  <c r="M14" i="10" s="1"/>
  <c r="M19" i="11"/>
  <c r="M31" i="10" s="1"/>
  <c r="M11" i="11"/>
  <c r="J138" i="8"/>
  <c r="J139" i="8" s="1"/>
  <c r="J12" i="8" s="1"/>
  <c r="N19" i="9"/>
  <c r="N21" i="9"/>
  <c r="N23" i="9"/>
  <c r="O118" i="8"/>
  <c r="O47" i="10" s="1"/>
  <c r="O50" i="10" s="1"/>
  <c r="N47" i="10"/>
  <c r="N50" i="10" s="1"/>
  <c r="M26" i="7"/>
  <c r="K6" i="3"/>
  <c r="K24" i="3" s="1"/>
  <c r="M5" i="11"/>
  <c r="Y5" i="11" s="1"/>
  <c r="M5" i="10"/>
  <c r="M5" i="8"/>
  <c r="P5" i="9"/>
  <c r="AA5" i="9"/>
  <c r="O112" i="8"/>
  <c r="O24" i="10" s="1"/>
  <c r="N24" i="10"/>
  <c r="L214" i="7"/>
  <c r="L131" i="7"/>
  <c r="L143" i="7"/>
  <c r="L104" i="7"/>
  <c r="L94" i="7"/>
  <c r="L86" i="7"/>
  <c r="L199" i="7"/>
  <c r="L63" i="7"/>
  <c r="L41" i="7"/>
  <c r="L147" i="8"/>
  <c r="L155" i="8"/>
  <c r="L73" i="8"/>
  <c r="L90" i="8"/>
  <c r="L101" i="8"/>
  <c r="L58" i="8"/>
  <c r="L50" i="8"/>
  <c r="L20" i="8"/>
  <c r="L35" i="8"/>
  <c r="J193" i="7"/>
  <c r="J194" i="7" s="1"/>
  <c r="J34" i="7" s="1"/>
  <c r="K151" i="7"/>
  <c r="K28" i="7"/>
  <c r="I9" i="3"/>
  <c r="I11" i="3" s="1"/>
  <c r="K7" i="8"/>
  <c r="M29" i="9"/>
  <c r="O18" i="9"/>
  <c r="L20" i="11"/>
  <c r="L30" i="10"/>
  <c r="L32" i="10" s="1"/>
  <c r="M8" i="3"/>
  <c r="O7" i="11"/>
  <c r="Q33" i="9"/>
  <c r="Q26" i="9"/>
  <c r="Q10" i="9"/>
  <c r="Q17" i="9" s="1"/>
  <c r="Q18" i="9" s="1"/>
  <c r="M150" i="7" l="1"/>
  <c r="M108" i="8"/>
  <c r="M20" i="10" s="1"/>
  <c r="M25" i="10" s="1"/>
  <c r="Q23" i="9"/>
  <c r="Q21" i="9"/>
  <c r="L151" i="7"/>
  <c r="K193" i="7"/>
  <c r="K194" i="7" s="1"/>
  <c r="K34" i="7" s="1"/>
  <c r="I217" i="7"/>
  <c r="L10" i="3"/>
  <c r="L15" i="3" s="1"/>
  <c r="N16" i="8"/>
  <c r="N18" i="11"/>
  <c r="N14" i="11"/>
  <c r="N16" i="10" s="1"/>
  <c r="N12" i="11"/>
  <c r="N14" i="10" s="1"/>
  <c r="N19" i="11"/>
  <c r="N31" i="10" s="1"/>
  <c r="N11" i="11"/>
  <c r="O19" i="11"/>
  <c r="O31" i="10" s="1"/>
  <c r="O11" i="11"/>
  <c r="O18" i="11"/>
  <c r="O14" i="11"/>
  <c r="O16" i="10" s="1"/>
  <c r="O12" i="11"/>
  <c r="O14" i="10" s="1"/>
  <c r="L158" i="7"/>
  <c r="L115" i="8"/>
  <c r="N5" i="11"/>
  <c r="Z5" i="11" s="1"/>
  <c r="L6" i="3"/>
  <c r="L24" i="3" s="1"/>
  <c r="N5" i="8"/>
  <c r="N5" i="10"/>
  <c r="AB5" i="9"/>
  <c r="Q5" i="9"/>
  <c r="K190" i="7"/>
  <c r="K191" i="7" s="1"/>
  <c r="K33" i="7" s="1"/>
  <c r="N94" i="8"/>
  <c r="N8" i="8"/>
  <c r="O141" i="8"/>
  <c r="O142" i="8" s="1"/>
  <c r="O13" i="8" s="1"/>
  <c r="O21" i="10"/>
  <c r="L147" i="7"/>
  <c r="L22" i="11"/>
  <c r="L23" i="11" s="1"/>
  <c r="J17" i="3" s="1"/>
  <c r="L105" i="8"/>
  <c r="I12" i="3"/>
  <c r="I13" i="3" s="1"/>
  <c r="I18" i="3" s="1"/>
  <c r="I30" i="3" s="1"/>
  <c r="I31" i="3" s="1"/>
  <c r="M147" i="8"/>
  <c r="M101" i="8"/>
  <c r="M73" i="8"/>
  <c r="M35" i="8"/>
  <c r="M155" i="8"/>
  <c r="M90" i="8"/>
  <c r="M58" i="8"/>
  <c r="M20" i="8"/>
  <c r="M50" i="8"/>
  <c r="M214" i="7"/>
  <c r="M199" i="7"/>
  <c r="M143" i="7"/>
  <c r="M104" i="7"/>
  <c r="M94" i="7"/>
  <c r="M86" i="7"/>
  <c r="M131" i="7"/>
  <c r="M41" i="7"/>
  <c r="M63" i="7"/>
  <c r="H12" i="3"/>
  <c r="H13" i="3" s="1"/>
  <c r="H18" i="3" s="1"/>
  <c r="H30" i="3" s="1"/>
  <c r="H31" i="3" s="1"/>
  <c r="M10" i="3"/>
  <c r="M15" i="3" s="1"/>
  <c r="O16" i="8"/>
  <c r="O94" i="8"/>
  <c r="O8" i="8"/>
  <c r="O19" i="9"/>
  <c r="O23" i="9"/>
  <c r="O21" i="9"/>
  <c r="K203" i="7"/>
  <c r="L133" i="7"/>
  <c r="L92" i="8"/>
  <c r="N24" i="9"/>
  <c r="N28" i="9"/>
  <c r="M15" i="11"/>
  <c r="M13" i="10"/>
  <c r="M17" i="10" s="1"/>
  <c r="M20" i="11"/>
  <c r="M30" i="10"/>
  <c r="M32" i="10" s="1"/>
  <c r="K138" i="8"/>
  <c r="K139" i="8" s="1"/>
  <c r="K12" i="8" s="1"/>
  <c r="J203" i="7"/>
  <c r="P18" i="9"/>
  <c r="L190" i="7" l="1"/>
  <c r="L191" i="7" s="1"/>
  <c r="L33" i="7" s="1"/>
  <c r="N108" i="8"/>
  <c r="N20" i="10" s="1"/>
  <c r="N25" i="10" s="1"/>
  <c r="L138" i="8"/>
  <c r="P19" i="9"/>
  <c r="P23" i="9"/>
  <c r="P21" i="9"/>
  <c r="M147" i="7"/>
  <c r="M105" i="8"/>
  <c r="M22" i="11"/>
  <c r="M23" i="11" s="1"/>
  <c r="K17" i="3" s="1"/>
  <c r="O20" i="11"/>
  <c r="O115" i="8" s="1"/>
  <c r="O30" i="10"/>
  <c r="O32" i="10" s="1"/>
  <c r="N15" i="11"/>
  <c r="N13" i="10"/>
  <c r="N17" i="10" s="1"/>
  <c r="N20" i="11"/>
  <c r="N115" i="8" s="1"/>
  <c r="N30" i="10"/>
  <c r="N32" i="10" s="1"/>
  <c r="L28" i="7"/>
  <c r="J9" i="3"/>
  <c r="J11" i="3" s="1"/>
  <c r="L7" i="8"/>
  <c r="N29" i="9"/>
  <c r="L139" i="8"/>
  <c r="L12" i="8" s="1"/>
  <c r="O15" i="11"/>
  <c r="O13" i="10"/>
  <c r="O17" i="10" s="1"/>
  <c r="O92" i="8"/>
  <c r="Q28" i="9"/>
  <c r="Q24" i="9"/>
  <c r="M158" i="7"/>
  <c r="M115" i="8"/>
  <c r="K217" i="7"/>
  <c r="N155" i="8"/>
  <c r="N147" i="8"/>
  <c r="N101" i="8"/>
  <c r="N50" i="8"/>
  <c r="N20" i="8"/>
  <c r="N90" i="8"/>
  <c r="N73" i="8"/>
  <c r="N58" i="8"/>
  <c r="N35" i="8"/>
  <c r="M151" i="7"/>
  <c r="M193" i="7" s="1"/>
  <c r="L193" i="7"/>
  <c r="L194" i="7" s="1"/>
  <c r="L34" i="7" s="1"/>
  <c r="Q19" i="9"/>
  <c r="J217" i="7"/>
  <c r="M133" i="7"/>
  <c r="M92" i="8"/>
  <c r="O24" i="9"/>
  <c r="O28" i="9"/>
  <c r="M6" i="3"/>
  <c r="M24" i="3" s="1"/>
  <c r="O5" i="11"/>
  <c r="AA5" i="11" s="1"/>
  <c r="O5" i="8"/>
  <c r="O5" i="10"/>
  <c r="AC5" i="9"/>
  <c r="O108" i="8" l="1"/>
  <c r="O20" i="10" s="1"/>
  <c r="O25" i="10" s="1"/>
  <c r="M194" i="7"/>
  <c r="M34" i="7" s="1"/>
  <c r="M9" i="3"/>
  <c r="O7" i="8"/>
  <c r="Q29" i="9"/>
  <c r="O22" i="11"/>
  <c r="O105" i="8"/>
  <c r="O138" i="8" s="1"/>
  <c r="L203" i="7"/>
  <c r="N22" i="11"/>
  <c r="N23" i="11" s="1"/>
  <c r="L17" i="3" s="1"/>
  <c r="N105" i="8"/>
  <c r="N138" i="8" s="1"/>
  <c r="J12" i="3"/>
  <c r="J13" i="3" s="1"/>
  <c r="J18" i="3" s="1"/>
  <c r="J30" i="3" s="1"/>
  <c r="J31" i="3" s="1"/>
  <c r="O90" i="8"/>
  <c r="O155" i="8"/>
  <c r="O147" i="8"/>
  <c r="O35" i="8"/>
  <c r="O101" i="8"/>
  <c r="O50" i="8"/>
  <c r="O20" i="8"/>
  <c r="O73" i="8"/>
  <c r="O58" i="8"/>
  <c r="M138" i="8"/>
  <c r="M139" i="8" s="1"/>
  <c r="M12" i="8" s="1"/>
  <c r="N92" i="8"/>
  <c r="P24" i="9"/>
  <c r="P28" i="9"/>
  <c r="M28" i="7"/>
  <c r="K9" i="3"/>
  <c r="K11" i="3" s="1"/>
  <c r="M7" i="8"/>
  <c r="O29" i="9"/>
  <c r="M190" i="7"/>
  <c r="M191" i="7" s="1"/>
  <c r="M33" i="7" s="1"/>
  <c r="O139" i="8" l="1"/>
  <c r="O12" i="8" s="1"/>
  <c r="L9" i="3"/>
  <c r="L11" i="3" s="1"/>
  <c r="N7" i="8"/>
  <c r="P29" i="9"/>
  <c r="L217" i="7"/>
  <c r="K12" i="3"/>
  <c r="K13" i="3" s="1"/>
  <c r="K18" i="3" s="1"/>
  <c r="K30" i="3" s="1"/>
  <c r="K31" i="3" s="1"/>
  <c r="M11" i="3"/>
  <c r="G40" i="3"/>
  <c r="G41" i="3" s="1"/>
  <c r="M203" i="7"/>
  <c r="O23" i="11"/>
  <c r="M17" i="3" s="1"/>
  <c r="N139" i="8"/>
  <c r="N12" i="8" s="1"/>
  <c r="M217" i="7" l="1"/>
  <c r="M12" i="3"/>
  <c r="M13" i="3" s="1"/>
  <c r="M18" i="3" s="1"/>
  <c r="L12" i="3"/>
  <c r="L13" i="3" s="1"/>
  <c r="L18" i="3" s="1"/>
  <c r="L30" i="3" s="1"/>
  <c r="L31" i="3" s="1"/>
  <c r="D40" i="3" l="1"/>
  <c r="D41" i="3" s="1"/>
  <c r="M30" i="3"/>
  <c r="M31" i="3" s="1"/>
  <c r="D38" i="3" l="1"/>
  <c r="D42" i="3" s="1"/>
  <c r="G38" i="3"/>
  <c r="G42" i="3" s="1"/>
  <c r="D44" i="3" l="1"/>
  <c r="D46" i="3"/>
  <c r="G46" i="3"/>
  <c r="G44" i="3"/>
  <c r="F107" i="7"/>
  <c r="G107" i="7"/>
  <c r="H107" i="7"/>
  <c r="I107" i="7"/>
  <c r="J107" i="7"/>
  <c r="K107" i="7"/>
  <c r="L107" i="7"/>
  <c r="M107" i="7"/>
  <c r="F108" i="7"/>
  <c r="G108" i="7"/>
  <c r="H108" i="7"/>
  <c r="I108" i="7"/>
  <c r="J108" i="7"/>
  <c r="K108" i="7"/>
  <c r="L108" i="7"/>
  <c r="M108" i="7"/>
  <c r="F109" i="7"/>
  <c r="G109" i="7"/>
  <c r="H109" i="7"/>
  <c r="I109" i="7"/>
  <c r="J109" i="7"/>
  <c r="K109" i="7"/>
  <c r="L109" i="7"/>
  <c r="M109" i="7"/>
  <c r="F110" i="7"/>
  <c r="G110" i="7"/>
  <c r="H110" i="7"/>
  <c r="I110" i="7"/>
  <c r="J110" i="7"/>
  <c r="K110" i="7"/>
  <c r="L110" i="7"/>
  <c r="M110" i="7"/>
  <c r="F111" i="7"/>
  <c r="G111" i="7"/>
  <c r="H111" i="7"/>
  <c r="I111" i="7"/>
  <c r="J111" i="7"/>
  <c r="K111" i="7"/>
  <c r="L111" i="7"/>
  <c r="M111" i="7"/>
  <c r="F112" i="7"/>
  <c r="G112" i="7"/>
  <c r="H112" i="7"/>
  <c r="I112" i="7"/>
  <c r="J112" i="7"/>
  <c r="K112" i="7"/>
  <c r="L112" i="7"/>
  <c r="M112" i="7"/>
  <c r="F126" i="7"/>
  <c r="F31" i="7" s="1"/>
  <c r="F12" i="26" s="1"/>
  <c r="G126" i="7"/>
  <c r="G31" i="7" s="1"/>
  <c r="G12" i="26" s="1"/>
  <c r="H126" i="7"/>
  <c r="H31" i="7" s="1"/>
  <c r="H12" i="26" s="1"/>
  <c r="I126" i="7"/>
  <c r="I31" i="7" s="1"/>
  <c r="I12" i="26" s="1"/>
  <c r="J126" i="7"/>
  <c r="J31" i="7" s="1"/>
  <c r="J12" i="26" s="1"/>
  <c r="K126" i="7"/>
  <c r="K31" i="7" s="1"/>
  <c r="K12" i="26" s="1"/>
  <c r="L126" i="7"/>
  <c r="L31" i="7" s="1"/>
  <c r="L12" i="26" s="1"/>
  <c r="M126" i="7"/>
  <c r="M31" i="7" s="1"/>
  <c r="M12" i="26" s="1"/>
  <c r="F134" i="7"/>
  <c r="G134" i="7"/>
  <c r="G137" i="7" s="1"/>
  <c r="H134" i="7"/>
  <c r="H137" i="7" s="1"/>
  <c r="H138" i="7" s="1"/>
  <c r="F137" i="7"/>
  <c r="F218" i="7"/>
  <c r="G218" i="7"/>
  <c r="H218" i="7"/>
  <c r="K218" i="7"/>
  <c r="L218" i="7" l="1"/>
  <c r="L134" i="7"/>
  <c r="L137" i="7" s="1"/>
  <c r="J218" i="7"/>
  <c r="M23" i="26"/>
  <c r="I23" i="26"/>
  <c r="L23" i="26"/>
  <c r="H23" i="26"/>
  <c r="K23" i="26"/>
  <c r="G23" i="26"/>
  <c r="J23" i="26"/>
  <c r="F23" i="26"/>
  <c r="H32" i="7"/>
  <c r="H13" i="26" s="1"/>
  <c r="H16" i="26" s="1"/>
  <c r="H139" i="7"/>
  <c r="G138" i="7"/>
  <c r="G32" i="7" s="1"/>
  <c r="L138" i="7"/>
  <c r="L32" i="7" s="1"/>
  <c r="L13" i="26" s="1"/>
  <c r="L16" i="26" s="1"/>
  <c r="F138" i="7"/>
  <c r="F32" i="7" s="1"/>
  <c r="F13" i="26" s="1"/>
  <c r="F16" i="26" s="1"/>
  <c r="M134" i="7"/>
  <c r="M137" i="7" s="1"/>
  <c r="M218" i="7"/>
  <c r="I134" i="7"/>
  <c r="I137" i="7" s="1"/>
  <c r="I218" i="7"/>
  <c r="K134" i="7"/>
  <c r="K137" i="7" s="1"/>
  <c r="H35" i="7"/>
  <c r="J134" i="7"/>
  <c r="J137" i="7" s="1"/>
  <c r="F35" i="7" l="1"/>
  <c r="F88" i="7" s="1"/>
  <c r="F90" i="7" s="1"/>
  <c r="L35" i="7"/>
  <c r="G139" i="7"/>
  <c r="G35" i="7"/>
  <c r="G13" i="26"/>
  <c r="G16" i="26" s="1"/>
  <c r="F139" i="7"/>
  <c r="K138" i="7"/>
  <c r="K32" i="7" s="1"/>
  <c r="L139" i="7"/>
  <c r="I138" i="7"/>
  <c r="I32" i="7" s="1"/>
  <c r="M138" i="7"/>
  <c r="M32" i="7" s="1"/>
  <c r="F186" i="7"/>
  <c r="G186" i="7" s="1"/>
  <c r="H186" i="7" s="1"/>
  <c r="J138" i="7"/>
  <c r="J32" i="7" s="1"/>
  <c r="H208" i="7" l="1"/>
  <c r="M139" i="7"/>
  <c r="F208" i="7"/>
  <c r="J35" i="7"/>
  <c r="J13" i="26"/>
  <c r="J16" i="26" s="1"/>
  <c r="K35" i="7"/>
  <c r="K13" i="26"/>
  <c r="K16" i="26" s="1"/>
  <c r="M35" i="7"/>
  <c r="M13" i="26"/>
  <c r="M16" i="26" s="1"/>
  <c r="I35" i="7"/>
  <c r="I13" i="26"/>
  <c r="I16" i="26" s="1"/>
  <c r="J139" i="7"/>
  <c r="K139" i="7"/>
  <c r="I139" i="7"/>
  <c r="I186" i="7" s="1"/>
  <c r="G208" i="7"/>
  <c r="F96" i="7"/>
  <c r="I208" i="7"/>
  <c r="J186" i="7" l="1"/>
  <c r="K186" i="7" s="1"/>
  <c r="F167" i="7"/>
  <c r="F97" i="7"/>
  <c r="F168" i="7" s="1"/>
  <c r="J208" i="7"/>
  <c r="L186" i="7" l="1"/>
  <c r="F98" i="7"/>
  <c r="G66" i="7"/>
  <c r="G65" i="7"/>
  <c r="K208" i="7"/>
  <c r="M186" i="7" l="1"/>
  <c r="M208" i="7"/>
  <c r="F169" i="7"/>
  <c r="F99" i="7"/>
  <c r="L208" i="7"/>
  <c r="G67" i="7" l="1"/>
  <c r="F170" i="7"/>
  <c r="F216" i="7" s="1"/>
  <c r="F100" i="7"/>
  <c r="F145" i="7" s="1"/>
  <c r="F18" i="26" s="1"/>
  <c r="F22" i="26" s="1"/>
  <c r="F219" i="7" l="1"/>
  <c r="G68" i="7"/>
  <c r="G82" i="7" s="1"/>
  <c r="G88" i="7" s="1"/>
  <c r="G90" i="7" s="1"/>
  <c r="F204" i="7"/>
  <c r="F205" i="7" s="1"/>
  <c r="F206" i="7" s="1"/>
  <c r="F156" i="7"/>
  <c r="F184" i="7"/>
  <c r="G19" i="26" s="1"/>
  <c r="G21" i="26" l="1"/>
  <c r="G96" i="7"/>
  <c r="F188" i="7"/>
  <c r="F209" i="7"/>
  <c r="G167" i="7" l="1"/>
  <c r="G97" i="7"/>
  <c r="G168" i="7" s="1"/>
  <c r="G98" i="7" l="1"/>
  <c r="G169" i="7" s="1"/>
  <c r="H67" i="7" s="1"/>
  <c r="H65" i="7"/>
  <c r="H66" i="7"/>
  <c r="G99" i="7" l="1"/>
  <c r="G170" i="7" s="1"/>
  <c r="G216" i="7" s="1"/>
  <c r="H68" i="7"/>
  <c r="H82" i="7" s="1"/>
  <c r="H88" i="7" s="1"/>
  <c r="G219" i="7" l="1"/>
  <c r="G100" i="7"/>
  <c r="G145" i="7" s="1"/>
  <c r="G184" i="7"/>
  <c r="H19" i="26" s="1"/>
  <c r="G204" i="7"/>
  <c r="G205" i="7" s="1"/>
  <c r="G206" i="7" s="1"/>
  <c r="H21" i="26" l="1"/>
  <c r="G156" i="7"/>
  <c r="G18" i="26"/>
  <c r="G22" i="26" s="1"/>
  <c r="H90" i="7"/>
  <c r="H96" i="7" s="1"/>
  <c r="H167" i="7" s="1"/>
  <c r="H97" i="7" l="1"/>
  <c r="H168" i="7" s="1"/>
  <c r="G209" i="7"/>
  <c r="G188" i="7"/>
  <c r="I66" i="7"/>
  <c r="H98" i="7"/>
  <c r="H169" i="7" s="1"/>
  <c r="I65" i="7"/>
  <c r="I67" i="7" l="1"/>
  <c r="H99" i="7"/>
  <c r="H170" i="7" l="1"/>
  <c r="H100" i="7"/>
  <c r="H145" i="7" s="1"/>
  <c r="H18" i="26" s="1"/>
  <c r="H22" i="26" s="1"/>
  <c r="H156" i="7" l="1"/>
  <c r="I68" i="7"/>
  <c r="I82" i="7" s="1"/>
  <c r="I88" i="7" s="1"/>
  <c r="I90" i="7" s="1"/>
  <c r="H204" i="7"/>
  <c r="H205" i="7" s="1"/>
  <c r="H206" i="7" s="1"/>
  <c r="H216" i="7"/>
  <c r="H184" i="7"/>
  <c r="I19" i="26" s="1"/>
  <c r="H219" i="7"/>
  <c r="I21" i="26" l="1"/>
  <c r="I96" i="7"/>
  <c r="H188" i="7"/>
  <c r="H209" i="7"/>
  <c r="I167" i="7" l="1"/>
  <c r="I97" i="7"/>
  <c r="I168" i="7" s="1"/>
  <c r="J66" i="7" l="1"/>
  <c r="I98" i="7"/>
  <c r="J65" i="7"/>
  <c r="I169" i="7" l="1"/>
  <c r="I99" i="7"/>
  <c r="I170" i="7" l="1"/>
  <c r="I184" i="7" s="1"/>
  <c r="J19" i="26" s="1"/>
  <c r="I100" i="7"/>
  <c r="I145" i="7" s="1"/>
  <c r="I18" i="26" s="1"/>
  <c r="I22" i="26" s="1"/>
  <c r="J67" i="7"/>
  <c r="J21" i="26" l="1"/>
  <c r="I219" i="7"/>
  <c r="I204" i="7"/>
  <c r="I205" i="7" s="1"/>
  <c r="I206" i="7" s="1"/>
  <c r="I216" i="7"/>
  <c r="I156" i="7"/>
  <c r="J68" i="7"/>
  <c r="J82" i="7" s="1"/>
  <c r="J88" i="7" s="1"/>
  <c r="J90" i="7" s="1"/>
  <c r="I188" i="7" l="1"/>
  <c r="I209" i="7"/>
  <c r="J96" i="7"/>
  <c r="J167" i="7" l="1"/>
  <c r="J97" i="7"/>
  <c r="J168" i="7" s="1"/>
  <c r="K65" i="7" l="1"/>
  <c r="K66" i="7"/>
  <c r="J98" i="7"/>
  <c r="J169" i="7" s="1"/>
  <c r="K67" i="7" l="1"/>
  <c r="J99" i="7"/>
  <c r="J170" i="7" s="1"/>
  <c r="J100" i="7" l="1"/>
  <c r="J145" i="7" s="1"/>
  <c r="J18" i="26" s="1"/>
  <c r="J22" i="26" s="1"/>
  <c r="K68" i="7"/>
  <c r="K82" i="7" s="1"/>
  <c r="K88" i="7" s="1"/>
  <c r="J184" i="7"/>
  <c r="K19" i="26" s="1"/>
  <c r="J216" i="7"/>
  <c r="J219" i="7"/>
  <c r="K21" i="26" l="1"/>
  <c r="J156" i="7"/>
  <c r="J204" i="7"/>
  <c r="J205" i="7" s="1"/>
  <c r="J206" i="7" s="1"/>
  <c r="K90" i="7"/>
  <c r="J188" i="7" l="1"/>
  <c r="J209" i="7"/>
  <c r="K96" i="7"/>
  <c r="K97" i="7" s="1"/>
  <c r="K168" i="7" s="1"/>
  <c r="K167" i="7" l="1"/>
  <c r="L66" i="7"/>
  <c r="K98" i="7"/>
  <c r="K169" i="7" s="1"/>
  <c r="L67" i="7" l="1"/>
  <c r="K99" i="7"/>
  <c r="K170" i="7" s="1"/>
  <c r="K184" i="7" s="1"/>
  <c r="L19" i="26" s="1"/>
  <c r="L65" i="7"/>
  <c r="L21" i="26" l="1"/>
  <c r="K219" i="7"/>
  <c r="K216" i="7"/>
  <c r="L68" i="7"/>
  <c r="L82" i="7" s="1"/>
  <c r="L88" i="7" s="1"/>
  <c r="K100" i="7"/>
  <c r="K145" i="7" s="1"/>
  <c r="K18" i="26" s="1"/>
  <c r="K22" i="26" s="1"/>
  <c r="K156" i="7" l="1"/>
  <c r="K204" i="7"/>
  <c r="K205" i="7" s="1"/>
  <c r="K206" i="7" s="1"/>
  <c r="L90" i="7"/>
  <c r="K188" i="7" l="1"/>
  <c r="K209" i="7"/>
  <c r="L96" i="7"/>
  <c r="L167" i="7" l="1"/>
  <c r="L97" i="7"/>
  <c r="L168" i="7" s="1"/>
  <c r="L98" i="7" l="1"/>
  <c r="L169" i="7" s="1"/>
  <c r="M67" i="7" s="1"/>
  <c r="M66" i="7"/>
  <c r="M65" i="7"/>
  <c r="L99" i="7" l="1"/>
  <c r="L170" i="7" s="1"/>
  <c r="M68" i="7" s="1"/>
  <c r="M82" i="7" s="1"/>
  <c r="M88" i="7" s="1"/>
  <c r="L184" i="7" l="1"/>
  <c r="M19" i="26" s="1"/>
  <c r="L216" i="7"/>
  <c r="L219" i="7"/>
  <c r="L100" i="7"/>
  <c r="L145" i="7" s="1"/>
  <c r="L156" i="7" l="1"/>
  <c r="L188" i="7" s="1"/>
  <c r="L18" i="26"/>
  <c r="L22" i="26" s="1"/>
  <c r="M21" i="26"/>
  <c r="M90" i="7"/>
  <c r="M96" i="7" s="1"/>
  <c r="M167" i="7" s="1"/>
  <c r="L209" i="7"/>
  <c r="L204" i="7"/>
  <c r="L205" i="7" s="1"/>
  <c r="L206" i="7" s="1"/>
  <c r="M97" i="7" l="1"/>
  <c r="M168" i="7" s="1"/>
  <c r="F76" i="8"/>
  <c r="G76" i="8"/>
  <c r="H76" i="8"/>
  <c r="I76" i="8"/>
  <c r="K32" i="9" s="1"/>
  <c r="J76" i="8"/>
  <c r="K76" i="8"/>
  <c r="L76" i="8"/>
  <c r="M76" i="8"/>
  <c r="O32" i="9" s="1"/>
  <c r="N76" i="8"/>
  <c r="O76" i="8"/>
  <c r="F77" i="8"/>
  <c r="G77" i="8"/>
  <c r="H77" i="8"/>
  <c r="I77" i="8"/>
  <c r="J77" i="8"/>
  <c r="K77" i="8"/>
  <c r="L77" i="8"/>
  <c r="M77" i="8"/>
  <c r="N77" i="8"/>
  <c r="O77" i="8"/>
  <c r="F78" i="8"/>
  <c r="G78" i="8"/>
  <c r="H78" i="8"/>
  <c r="I78" i="8"/>
  <c r="J78" i="8"/>
  <c r="K78" i="8"/>
  <c r="L78" i="8"/>
  <c r="M78" i="8"/>
  <c r="N78" i="8"/>
  <c r="O78" i="8"/>
  <c r="F79" i="8"/>
  <c r="G79" i="8"/>
  <c r="H79" i="8"/>
  <c r="I79" i="8"/>
  <c r="J79" i="8"/>
  <c r="K79" i="8"/>
  <c r="L79" i="8"/>
  <c r="M79" i="8"/>
  <c r="N79" i="8"/>
  <c r="O79" i="8"/>
  <c r="F80" i="8"/>
  <c r="G80" i="8"/>
  <c r="H80" i="8"/>
  <c r="I80" i="8"/>
  <c r="J80" i="8"/>
  <c r="K80" i="8"/>
  <c r="L80" i="8"/>
  <c r="M80" i="8"/>
  <c r="N80" i="8"/>
  <c r="O80" i="8"/>
  <c r="F81" i="8"/>
  <c r="G81" i="8"/>
  <c r="H81" i="8"/>
  <c r="I81" i="8"/>
  <c r="J81" i="8"/>
  <c r="K81" i="8"/>
  <c r="L81" i="8"/>
  <c r="M81" i="8"/>
  <c r="N81" i="8"/>
  <c r="O81" i="8"/>
  <c r="F82" i="8"/>
  <c r="G82" i="8"/>
  <c r="H82" i="8"/>
  <c r="I82" i="8"/>
  <c r="J82" i="8"/>
  <c r="K82" i="8"/>
  <c r="L82" i="8"/>
  <c r="M82" i="8"/>
  <c r="N82" i="8"/>
  <c r="O82" i="8"/>
  <c r="F83" i="8"/>
  <c r="G83" i="8"/>
  <c r="H83" i="8"/>
  <c r="I83" i="8"/>
  <c r="J83" i="8"/>
  <c r="K83" i="8"/>
  <c r="L83" i="8"/>
  <c r="M83" i="8"/>
  <c r="N83" i="8"/>
  <c r="O83" i="8"/>
  <c r="F84" i="8"/>
  <c r="G84" i="8"/>
  <c r="H84" i="8"/>
  <c r="I84" i="8"/>
  <c r="J84" i="8"/>
  <c r="K84" i="8"/>
  <c r="L84" i="8"/>
  <c r="M84" i="8"/>
  <c r="N84" i="8"/>
  <c r="O84" i="8"/>
  <c r="F85" i="8"/>
  <c r="G85" i="8"/>
  <c r="H85" i="8"/>
  <c r="I85" i="8"/>
  <c r="J85" i="8"/>
  <c r="K85" i="8"/>
  <c r="L85" i="8"/>
  <c r="M85" i="8"/>
  <c r="N85" i="8"/>
  <c r="O85" i="8"/>
  <c r="H32" i="9"/>
  <c r="I32" i="9"/>
  <c r="J32" i="9"/>
  <c r="L32" i="9"/>
  <c r="M32" i="9"/>
  <c r="N32" i="9"/>
  <c r="P32" i="9"/>
  <c r="Q32" i="9"/>
  <c r="L86" i="8" l="1"/>
  <c r="L10" i="8" s="1"/>
  <c r="L12" i="25" s="1"/>
  <c r="L23" i="25" s="1"/>
  <c r="H86" i="8"/>
  <c r="H10" i="8" s="1"/>
  <c r="H12" i="25" s="1"/>
  <c r="H159" i="8"/>
  <c r="M98" i="7"/>
  <c r="M169" i="7" s="1"/>
  <c r="O86" i="8"/>
  <c r="Q31" i="9" s="1"/>
  <c r="Q34" i="9" s="1"/>
  <c r="Q36" i="9" s="1"/>
  <c r="K86" i="8"/>
  <c r="M31" i="9" s="1"/>
  <c r="M34" i="9" s="1"/>
  <c r="M36" i="9" s="1"/>
  <c r="M38" i="9" s="1"/>
  <c r="M42" i="9" s="1"/>
  <c r="M43" i="9" s="1"/>
  <c r="G86" i="8"/>
  <c r="M99" i="7"/>
  <c r="M170" i="7" s="1"/>
  <c r="M216" i="7" s="1"/>
  <c r="O10" i="8"/>
  <c r="O12" i="25" s="1"/>
  <c r="G10" i="8"/>
  <c r="G12" i="25" s="1"/>
  <c r="I31" i="9"/>
  <c r="I34" i="9" s="1"/>
  <c r="I36" i="9" s="1"/>
  <c r="K10" i="8"/>
  <c r="K12" i="25" s="1"/>
  <c r="L159" i="8"/>
  <c r="N86" i="8"/>
  <c r="N93" i="8" s="1"/>
  <c r="N95" i="8" s="1"/>
  <c r="J86" i="8"/>
  <c r="J10" i="8" s="1"/>
  <c r="J12" i="25" s="1"/>
  <c r="F86" i="8"/>
  <c r="M86" i="8"/>
  <c r="M93" i="8" s="1"/>
  <c r="M95" i="8" s="1"/>
  <c r="I86" i="8"/>
  <c r="I159" i="8" s="1"/>
  <c r="J159" i="8"/>
  <c r="I38" i="9"/>
  <c r="F10" i="8"/>
  <c r="F12" i="25" s="1"/>
  <c r="H31" i="9"/>
  <c r="H34" i="9" s="1"/>
  <c r="H36" i="9" s="1"/>
  <c r="F93" i="8"/>
  <c r="F95" i="8" s="1"/>
  <c r="F159" i="8"/>
  <c r="I10" i="8"/>
  <c r="I12" i="25" s="1"/>
  <c r="I93" i="8"/>
  <c r="I95" i="8" s="1"/>
  <c r="O159" i="8"/>
  <c r="G159" i="8"/>
  <c r="H93" i="8"/>
  <c r="H95" i="8" s="1"/>
  <c r="J31" i="9"/>
  <c r="J34" i="9" s="1"/>
  <c r="J36" i="9" s="1"/>
  <c r="O93" i="8"/>
  <c r="O95" i="8" s="1"/>
  <c r="K93" i="8"/>
  <c r="K95" i="8" s="1"/>
  <c r="G93" i="8"/>
  <c r="G95" i="8" s="1"/>
  <c r="M100" i="7"/>
  <c r="M145" i="7" s="1"/>
  <c r="N31" i="9" l="1"/>
  <c r="N34" i="9" s="1"/>
  <c r="N36" i="9" s="1"/>
  <c r="K159" i="8"/>
  <c r="L93" i="8"/>
  <c r="L95" i="8" s="1"/>
  <c r="L31" i="9"/>
  <c r="L34" i="9" s="1"/>
  <c r="L36" i="9" s="1"/>
  <c r="M219" i="7"/>
  <c r="J23" i="25"/>
  <c r="Q38" i="9"/>
  <c r="O96" i="8" s="1"/>
  <c r="O11" i="8" s="1"/>
  <c r="I23" i="25"/>
  <c r="K31" i="9"/>
  <c r="K34" i="9" s="1"/>
  <c r="K36" i="9" s="1"/>
  <c r="P31" i="9"/>
  <c r="P34" i="9" s="1"/>
  <c r="P36" i="9" s="1"/>
  <c r="P38" i="9" s="1"/>
  <c r="M10" i="8"/>
  <c r="M12" i="25" s="1"/>
  <c r="J93" i="8"/>
  <c r="J95" i="8" s="1"/>
  <c r="G23" i="25"/>
  <c r="F23" i="25"/>
  <c r="M156" i="7"/>
  <c r="M18" i="26"/>
  <c r="M22" i="26" s="1"/>
  <c r="K23" i="25"/>
  <c r="O23" i="25"/>
  <c r="H23" i="25"/>
  <c r="M184" i="7"/>
  <c r="N10" i="8"/>
  <c r="N12" i="25" s="1"/>
  <c r="O31" i="9"/>
  <c r="O34" i="9" s="1"/>
  <c r="O36" i="9" s="1"/>
  <c r="O38" i="9" s="1"/>
  <c r="N159" i="8"/>
  <c r="M159" i="8"/>
  <c r="K38" i="9"/>
  <c r="K42" i="9" s="1"/>
  <c r="K43" i="9" s="1"/>
  <c r="H38" i="9"/>
  <c r="H42" i="9" s="1"/>
  <c r="H43" i="9" s="1"/>
  <c r="G96" i="8"/>
  <c r="G11" i="8" s="1"/>
  <c r="I39" i="9"/>
  <c r="L38" i="9"/>
  <c r="L42" i="9" s="1"/>
  <c r="L43" i="9" s="1"/>
  <c r="M204" i="7"/>
  <c r="M205" i="7" s="1"/>
  <c r="M206" i="7" s="1"/>
  <c r="N38" i="9"/>
  <c r="I42" i="9"/>
  <c r="I43" i="9" s="1"/>
  <c r="M188" i="7"/>
  <c r="M209" i="7"/>
  <c r="J38" i="9"/>
  <c r="K96" i="8"/>
  <c r="M39" i="9"/>
  <c r="Q42" i="9" l="1"/>
  <c r="Q43" i="9" s="1"/>
  <c r="Q39" i="9"/>
  <c r="O97" i="8"/>
  <c r="G14" i="8"/>
  <c r="G13" i="25"/>
  <c r="G16" i="25" s="1"/>
  <c r="O13" i="25"/>
  <c r="O16" i="25" s="1"/>
  <c r="O14" i="8"/>
  <c r="M23" i="25"/>
  <c r="N23" i="25"/>
  <c r="K11" i="8"/>
  <c r="K97" i="8"/>
  <c r="N96" i="8"/>
  <c r="P39" i="9"/>
  <c r="H96" i="8"/>
  <c r="J39" i="9"/>
  <c r="M96" i="8"/>
  <c r="O39" i="9"/>
  <c r="L96" i="8"/>
  <c r="N39" i="9"/>
  <c r="J96" i="8"/>
  <c r="L39" i="9"/>
  <c r="P42" i="9"/>
  <c r="P43" i="9" s="1"/>
  <c r="I96" i="8"/>
  <c r="K39" i="9"/>
  <c r="J42" i="9"/>
  <c r="J43" i="9" s="1"/>
  <c r="O42" i="9"/>
  <c r="O43" i="9" s="1"/>
  <c r="N42" i="9"/>
  <c r="N43" i="9" s="1"/>
  <c r="F96" i="8"/>
  <c r="H39" i="9"/>
  <c r="G97" i="8"/>
  <c r="K14" i="8" l="1"/>
  <c r="K13" i="25"/>
  <c r="K16" i="25" s="1"/>
  <c r="I11" i="8"/>
  <c r="I97" i="8"/>
  <c r="H11" i="8"/>
  <c r="H97" i="8"/>
  <c r="L11" i="8"/>
  <c r="L97" i="8"/>
  <c r="F11" i="8"/>
  <c r="F97" i="8"/>
  <c r="J11" i="8"/>
  <c r="J97" i="8"/>
  <c r="M11" i="8"/>
  <c r="M97" i="8"/>
  <c r="N97" i="8"/>
  <c r="N11" i="8"/>
  <c r="J14" i="8" l="1"/>
  <c r="J13" i="25"/>
  <c r="J16" i="25" s="1"/>
  <c r="L14" i="8"/>
  <c r="L13" i="25"/>
  <c r="L16" i="25" s="1"/>
  <c r="I14" i="8"/>
  <c r="I13" i="25"/>
  <c r="I16" i="25" s="1"/>
  <c r="N14" i="8"/>
  <c r="N13" i="25"/>
  <c r="N16" i="25" s="1"/>
  <c r="M14" i="8"/>
  <c r="M13" i="25"/>
  <c r="M16" i="25" s="1"/>
  <c r="F14" i="8"/>
  <c r="F52" i="8" s="1"/>
  <c r="F54" i="8" s="1"/>
  <c r="F60" i="8" s="1"/>
  <c r="F61" i="8" s="1"/>
  <c r="F124" i="8" s="1"/>
  <c r="G38" i="8" s="1"/>
  <c r="F13" i="25"/>
  <c r="F16" i="25" s="1"/>
  <c r="H14" i="8"/>
  <c r="H13" i="25"/>
  <c r="H16" i="25" s="1"/>
  <c r="F134" i="8"/>
  <c r="F149" i="8" s="1"/>
  <c r="F36" i="10" l="1"/>
  <c r="F62" i="8"/>
  <c r="F125" i="8" s="1"/>
  <c r="F123" i="8"/>
  <c r="G134" i="8"/>
  <c r="F56" i="10"/>
  <c r="F37" i="10" l="1"/>
  <c r="G39" i="8"/>
  <c r="F63" i="8"/>
  <c r="F126" i="8" s="1"/>
  <c r="F35" i="10"/>
  <c r="G37" i="8"/>
  <c r="G56" i="10"/>
  <c r="H134" i="8"/>
  <c r="G149" i="8"/>
  <c r="F64" i="8" l="1"/>
  <c r="F65" i="8" s="1"/>
  <c r="F128" i="8" s="1"/>
  <c r="G40" i="8"/>
  <c r="F38" i="10"/>
  <c r="H149" i="8"/>
  <c r="I134" i="8"/>
  <c r="H56" i="10"/>
  <c r="F66" i="8" l="1"/>
  <c r="F129" i="8" s="1"/>
  <c r="G43" i="8" s="1"/>
  <c r="F127" i="8"/>
  <c r="F39" i="10"/>
  <c r="G41" i="8"/>
  <c r="G42" i="8"/>
  <c r="F40" i="10"/>
  <c r="J134" i="8"/>
  <c r="J149" i="8"/>
  <c r="I56" i="10"/>
  <c r="I149" i="8"/>
  <c r="F41" i="10" l="1"/>
  <c r="F67" i="8"/>
  <c r="F130" i="8" s="1"/>
  <c r="G44" i="8" s="1"/>
  <c r="F42" i="10"/>
  <c r="F68" i="8"/>
  <c r="J56" i="10"/>
  <c r="K134" i="8"/>
  <c r="K149" i="8" s="1"/>
  <c r="F131" i="8" l="1"/>
  <c r="F69" i="8"/>
  <c r="F103" i="8" s="1"/>
  <c r="L134" i="8"/>
  <c r="L149" i="8" s="1"/>
  <c r="K56" i="10"/>
  <c r="F10" i="10" l="1"/>
  <c r="F113" i="8"/>
  <c r="F157" i="8"/>
  <c r="F43" i="10"/>
  <c r="F44" i="10" s="1"/>
  <c r="F160" i="8"/>
  <c r="G45" i="8"/>
  <c r="G46" i="8" s="1"/>
  <c r="G52" i="8" s="1"/>
  <c r="G54" i="8" s="1"/>
  <c r="F158" i="8"/>
  <c r="F132" i="8"/>
  <c r="L56" i="10"/>
  <c r="M134" i="8"/>
  <c r="M149" i="8" s="1"/>
  <c r="F27" i="10" l="1"/>
  <c r="F18" i="25"/>
  <c r="F52" i="10"/>
  <c r="F58" i="10" s="1"/>
  <c r="F19" i="25"/>
  <c r="F136" i="8"/>
  <c r="F150" i="8"/>
  <c r="G60" i="8"/>
  <c r="N134" i="8"/>
  <c r="M56" i="10"/>
  <c r="F21" i="25" l="1"/>
  <c r="F22" i="25"/>
  <c r="F60" i="10"/>
  <c r="G61" i="8"/>
  <c r="G124" i="8" s="1"/>
  <c r="G123" i="8"/>
  <c r="N56" i="10"/>
  <c r="O134" i="8"/>
  <c r="O56" i="10" s="1"/>
  <c r="N149" i="8"/>
  <c r="G62" i="8" l="1"/>
  <c r="G125" i="8" s="1"/>
  <c r="H39" i="8" s="1"/>
  <c r="G35" i="10"/>
  <c r="H37" i="8"/>
  <c r="G36" i="10"/>
  <c r="H38" i="8"/>
  <c r="O149" i="8"/>
  <c r="G37" i="10" l="1"/>
  <c r="G63" i="8"/>
  <c r="G126" i="8" s="1"/>
  <c r="G38" i="10" s="1"/>
  <c r="G64" i="8"/>
  <c r="G127" i="8" s="1"/>
  <c r="H41" i="8" s="1"/>
  <c r="H40" i="8"/>
  <c r="G39" i="10" l="1"/>
  <c r="G65" i="8"/>
  <c r="G128" i="8" s="1"/>
  <c r="H42" i="8"/>
  <c r="G40" i="10"/>
  <c r="G66" i="8"/>
  <c r="G129" i="8" s="1"/>
  <c r="G41" i="10" l="1"/>
  <c r="H43" i="8"/>
  <c r="G67" i="8"/>
  <c r="G130" i="8" s="1"/>
  <c r="H44" i="8" l="1"/>
  <c r="G42" i="10"/>
  <c r="G68" i="8"/>
  <c r="G131" i="8" s="1"/>
  <c r="G69" i="8" l="1"/>
  <c r="G103" i="8" s="1"/>
  <c r="G158" i="8" s="1"/>
  <c r="G160" i="8"/>
  <c r="G43" i="10"/>
  <c r="G44" i="10" s="1"/>
  <c r="H45" i="8"/>
  <c r="H46" i="8" s="1"/>
  <c r="H52" i="8" s="1"/>
  <c r="G132" i="8"/>
  <c r="G157" i="8"/>
  <c r="H54" i="8" l="1"/>
  <c r="H60" i="8" s="1"/>
  <c r="H123" i="8" s="1"/>
  <c r="I37" i="8" s="1"/>
  <c r="G52" i="10"/>
  <c r="G58" i="10" s="1"/>
  <c r="G19" i="25"/>
  <c r="G10" i="10"/>
  <c r="G113" i="8"/>
  <c r="H62" i="8" l="1"/>
  <c r="H125" i="8" s="1"/>
  <c r="H37" i="10" s="1"/>
  <c r="H61" i="8"/>
  <c r="H124" i="8" s="1"/>
  <c r="H35" i="10"/>
  <c r="G27" i="10"/>
  <c r="G60" i="10" s="1"/>
  <c r="G18" i="25"/>
  <c r="G22" i="25" s="1"/>
  <c r="G21" i="25"/>
  <c r="G136" i="8"/>
  <c r="G150" i="8"/>
  <c r="I38" i="8"/>
  <c r="H36" i="10"/>
  <c r="H63" i="8" l="1"/>
  <c r="H126" i="8" s="1"/>
  <c r="I40" i="8" s="1"/>
  <c r="I39" i="8"/>
  <c r="H64" i="8" l="1"/>
  <c r="H65" i="8" s="1"/>
  <c r="H128" i="8" s="1"/>
  <c r="I42" i="8" s="1"/>
  <c r="H38" i="10"/>
  <c r="H66" i="8"/>
  <c r="H129" i="8" s="1"/>
  <c r="H41" i="10" s="1"/>
  <c r="H40" i="10"/>
  <c r="H127" i="8"/>
  <c r="I41" i="8" s="1"/>
  <c r="I43" i="8" l="1"/>
  <c r="H67" i="8"/>
  <c r="H130" i="8" s="1"/>
  <c r="H42" i="10" s="1"/>
  <c r="H39" i="10"/>
  <c r="H68" i="8" l="1"/>
  <c r="H131" i="8" s="1"/>
  <c r="I45" i="8" s="1"/>
  <c r="I44" i="8"/>
  <c r="I46" i="8" l="1"/>
  <c r="I52" i="8" s="1"/>
  <c r="H69" i="8"/>
  <c r="H103" i="8" s="1"/>
  <c r="H113" i="8" s="1"/>
  <c r="H132" i="8"/>
  <c r="H136" i="8" s="1"/>
  <c r="H43" i="10"/>
  <c r="H44" i="10" s="1"/>
  <c r="H157" i="8"/>
  <c r="H160" i="8"/>
  <c r="H10" i="10"/>
  <c r="H150" i="8"/>
  <c r="H27" i="10" l="1"/>
  <c r="H18" i="25"/>
  <c r="H158" i="8"/>
  <c r="I54" i="8"/>
  <c r="I60" i="8" s="1"/>
  <c r="I123" i="8" s="1"/>
  <c r="H52" i="10"/>
  <c r="H58" i="10" s="1"/>
  <c r="H19" i="25"/>
  <c r="H60" i="10" l="1"/>
  <c r="I61" i="8"/>
  <c r="I124" i="8" s="1"/>
  <c r="H21" i="25"/>
  <c r="H22" i="25"/>
  <c r="J37" i="8"/>
  <c r="I35" i="10"/>
  <c r="I62" i="8" l="1"/>
  <c r="I125" i="8" s="1"/>
  <c r="I37" i="10" s="1"/>
  <c r="I36" i="10"/>
  <c r="J38" i="8"/>
  <c r="I63" i="8" l="1"/>
  <c r="I126" i="8" s="1"/>
  <c r="I38" i="10" s="1"/>
  <c r="J39" i="8"/>
  <c r="J40" i="8" l="1"/>
  <c r="I64" i="8"/>
  <c r="I127" i="8" s="1"/>
  <c r="I65" i="8" l="1"/>
  <c r="I128" i="8" s="1"/>
  <c r="I66" i="8"/>
  <c r="I129" i="8" s="1"/>
  <c r="J43" i="8" s="1"/>
  <c r="J41" i="8"/>
  <c r="I39" i="10"/>
  <c r="I40" i="10"/>
  <c r="J42" i="8"/>
  <c r="I41" i="10" l="1"/>
  <c r="I67" i="8"/>
  <c r="I130" i="8" l="1"/>
  <c r="I68" i="8"/>
  <c r="I131" i="8" l="1"/>
  <c r="I157" i="8" s="1"/>
  <c r="I69" i="8"/>
  <c r="I103" i="8" s="1"/>
  <c r="I42" i="10"/>
  <c r="J44" i="8"/>
  <c r="I132" i="8" l="1"/>
  <c r="I158" i="8"/>
  <c r="I10" i="10"/>
  <c r="I113" i="8"/>
  <c r="I43" i="10"/>
  <c r="I44" i="10" s="1"/>
  <c r="J45" i="8"/>
  <c r="J46" i="8" s="1"/>
  <c r="J52" i="8" s="1"/>
  <c r="J54" i="8" s="1"/>
  <c r="J60" i="8" s="1"/>
  <c r="J123" i="8" s="1"/>
  <c r="I160" i="8"/>
  <c r="I52" i="10" l="1"/>
  <c r="I58" i="10" s="1"/>
  <c r="I19" i="25"/>
  <c r="I27" i="10"/>
  <c r="I18" i="25"/>
  <c r="J61" i="8"/>
  <c r="J62" i="8" s="1"/>
  <c r="J125" i="8" s="1"/>
  <c r="J37" i="10" s="1"/>
  <c r="I136" i="8"/>
  <c r="I150" i="8"/>
  <c r="K37" i="8"/>
  <c r="J35" i="10"/>
  <c r="I60" i="10" l="1"/>
  <c r="J124" i="8"/>
  <c r="I22" i="25"/>
  <c r="I21" i="25"/>
  <c r="K39" i="8"/>
  <c r="J63" i="8"/>
  <c r="J36" i="10"/>
  <c r="K38" i="8"/>
  <c r="J126" i="8" l="1"/>
  <c r="J64" i="8"/>
  <c r="J127" i="8" l="1"/>
  <c r="K40" i="8"/>
  <c r="J38" i="10"/>
  <c r="J65" i="8"/>
  <c r="J128" i="8" s="1"/>
  <c r="J40" i="10" s="1"/>
  <c r="J66" i="8" l="1"/>
  <c r="K42" i="8"/>
  <c r="K41" i="8"/>
  <c r="J39" i="10"/>
  <c r="J129" i="8" l="1"/>
  <c r="J67" i="8"/>
  <c r="J68" i="8" s="1"/>
  <c r="J131" i="8" s="1"/>
  <c r="J43" i="10" s="1"/>
  <c r="K43" i="8" l="1"/>
  <c r="J41" i="10"/>
  <c r="K45" i="8"/>
  <c r="J130" i="8"/>
  <c r="J69" i="8"/>
  <c r="J103" i="8" s="1"/>
  <c r="J113" i="8" l="1"/>
  <c r="J10" i="10"/>
  <c r="J42" i="10"/>
  <c r="J44" i="10" s="1"/>
  <c r="K44" i="8"/>
  <c r="K46" i="8" s="1"/>
  <c r="K52" i="8" s="1"/>
  <c r="K54" i="8" s="1"/>
  <c r="J160" i="8"/>
  <c r="J132" i="8"/>
  <c r="J158" i="8"/>
  <c r="J157" i="8"/>
  <c r="J52" i="10" l="1"/>
  <c r="J58" i="10" s="1"/>
  <c r="J19" i="25"/>
  <c r="J27" i="10"/>
  <c r="J60" i="10" s="1"/>
  <c r="J18" i="25"/>
  <c r="K60" i="8"/>
  <c r="K61" i="8" s="1"/>
  <c r="J136" i="8"/>
  <c r="J150" i="8"/>
  <c r="J21" i="25" l="1"/>
  <c r="J22" i="25"/>
  <c r="K124" i="8"/>
  <c r="K62" i="8"/>
  <c r="K125" i="8" s="1"/>
  <c r="K123" i="8"/>
  <c r="K63" i="8" l="1"/>
  <c r="K126" i="8" s="1"/>
  <c r="K38" i="10" s="1"/>
  <c r="L38" i="8"/>
  <c r="K36" i="10"/>
  <c r="K37" i="10"/>
  <c r="L39" i="8"/>
  <c r="K35" i="10"/>
  <c r="L37" i="8"/>
  <c r="L40" i="8" l="1"/>
  <c r="K64" i="8"/>
  <c r="K127" i="8" l="1"/>
  <c r="K65" i="8"/>
  <c r="K128" i="8" l="1"/>
  <c r="K66" i="8"/>
  <c r="K39" i="10"/>
  <c r="L41" i="8"/>
  <c r="K67" i="8" l="1"/>
  <c r="K129" i="8"/>
  <c r="L42" i="8"/>
  <c r="K40" i="10"/>
  <c r="K41" i="10" l="1"/>
  <c r="L43" i="8"/>
  <c r="K130" i="8"/>
  <c r="K68" i="8"/>
  <c r="K131" i="8" s="1"/>
  <c r="K132" i="8" l="1"/>
  <c r="K69" i="8"/>
  <c r="K103" i="8" s="1"/>
  <c r="K158" i="8" s="1"/>
  <c r="L44" i="8"/>
  <c r="K42" i="10"/>
  <c r="K157" i="8"/>
  <c r="L45" i="8"/>
  <c r="K43" i="10"/>
  <c r="K160" i="8"/>
  <c r="L46" i="8" l="1"/>
  <c r="L52" i="8" s="1"/>
  <c r="L54" i="8" s="1"/>
  <c r="L60" i="8" s="1"/>
  <c r="L123" i="8" s="1"/>
  <c r="K10" i="10"/>
  <c r="K113" i="8"/>
  <c r="K44" i="10"/>
  <c r="K52" i="10" l="1"/>
  <c r="K58" i="10" s="1"/>
  <c r="K19" i="25"/>
  <c r="K27" i="10"/>
  <c r="K60" i="10" s="1"/>
  <c r="K18" i="25"/>
  <c r="L61" i="8"/>
  <c r="L124" i="8" s="1"/>
  <c r="L36" i="10" s="1"/>
  <c r="L35" i="10"/>
  <c r="M37" i="8"/>
  <c r="K150" i="8"/>
  <c r="K136" i="8"/>
  <c r="L62" i="8" l="1"/>
  <c r="L125" i="8" s="1"/>
  <c r="L37" i="10" s="1"/>
  <c r="K22" i="25"/>
  <c r="K21" i="25"/>
  <c r="M38" i="8"/>
  <c r="M39" i="8" l="1"/>
  <c r="L63" i="8"/>
  <c r="L126" i="8" s="1"/>
  <c r="L64" i="8"/>
  <c r="L127" i="8" s="1"/>
  <c r="L39" i="10" s="1"/>
  <c r="L38" i="10"/>
  <c r="M40" i="8"/>
  <c r="M41" i="8" l="1"/>
  <c r="L65" i="8"/>
  <c r="L66" i="8" s="1"/>
  <c r="L129" i="8" s="1"/>
  <c r="L41" i="10" l="1"/>
  <c r="M43" i="8"/>
  <c r="L128" i="8"/>
  <c r="M42" i="8" s="1"/>
  <c r="L67" i="8"/>
  <c r="L130" i="8" s="1"/>
  <c r="L42" i="10" s="1"/>
  <c r="L40" i="10"/>
  <c r="M44" i="8" l="1"/>
  <c r="L68" i="8"/>
  <c r="L131" i="8" s="1"/>
  <c r="L157" i="8" l="1"/>
  <c r="L160" i="8"/>
  <c r="M45" i="8"/>
  <c r="M46" i="8" s="1"/>
  <c r="M52" i="8" s="1"/>
  <c r="L69" i="8"/>
  <c r="L103" i="8" s="1"/>
  <c r="L158" i="8"/>
  <c r="L132" i="8"/>
  <c r="L43" i="10"/>
  <c r="L44" i="10" s="1"/>
  <c r="L52" i="10" l="1"/>
  <c r="L58" i="10" s="1"/>
  <c r="L19" i="25"/>
  <c r="L10" i="10"/>
  <c r="L113" i="8"/>
  <c r="M54" i="8"/>
  <c r="M60" i="8" s="1"/>
  <c r="M123" i="8" s="1"/>
  <c r="M61" i="8" l="1"/>
  <c r="M62" i="8" s="1"/>
  <c r="M125" i="8" s="1"/>
  <c r="L27" i="10"/>
  <c r="L60" i="10" s="1"/>
  <c r="L18" i="25"/>
  <c r="L22" i="25" s="1"/>
  <c r="L21" i="25"/>
  <c r="L136" i="8"/>
  <c r="L150" i="8"/>
  <c r="M124" i="8"/>
  <c r="N37" i="8"/>
  <c r="M35" i="10"/>
  <c r="M37" i="10" l="1"/>
  <c r="N39" i="8"/>
  <c r="M63" i="8"/>
  <c r="M126" i="8" s="1"/>
  <c r="N40" i="8" s="1"/>
  <c r="N38" i="8"/>
  <c r="M36" i="10"/>
  <c r="M38" i="10"/>
  <c r="M64" i="8" l="1"/>
  <c r="M127" i="8" s="1"/>
  <c r="N41" i="8" s="1"/>
  <c r="M65" i="8" l="1"/>
  <c r="M128" i="8" s="1"/>
  <c r="N42" i="8" s="1"/>
  <c r="M39" i="10"/>
  <c r="M66" i="8"/>
  <c r="M129" i="8" s="1"/>
  <c r="M40" i="10" l="1"/>
  <c r="M67" i="8"/>
  <c r="M130" i="8" s="1"/>
  <c r="M42" i="10" s="1"/>
  <c r="M41" i="10"/>
  <c r="N43" i="8"/>
  <c r="M68" i="8"/>
  <c r="M131" i="8" s="1"/>
  <c r="N44" i="8" l="1"/>
  <c r="M160" i="8"/>
  <c r="M69" i="8"/>
  <c r="M103" i="8" s="1"/>
  <c r="N45" i="8"/>
  <c r="M43" i="10"/>
  <c r="M44" i="10" s="1"/>
  <c r="M157" i="8"/>
  <c r="M132" i="8"/>
  <c r="N46" i="8" l="1"/>
  <c r="N52" i="8" s="1"/>
  <c r="N54" i="8" s="1"/>
  <c r="N60" i="8" s="1"/>
  <c r="M52" i="10"/>
  <c r="M58" i="10" s="1"/>
  <c r="M19" i="25"/>
  <c r="M10" i="10"/>
  <c r="M113" i="8"/>
  <c r="M158" i="8"/>
  <c r="M21" i="25" l="1"/>
  <c r="M27" i="10"/>
  <c r="M60" i="10" s="1"/>
  <c r="M18" i="25"/>
  <c r="M22" i="25" s="1"/>
  <c r="M136" i="8"/>
  <c r="M150" i="8"/>
  <c r="N61" i="8"/>
  <c r="N123" i="8"/>
  <c r="N124" i="8" l="1"/>
  <c r="O37" i="8"/>
  <c r="N35" i="10"/>
  <c r="N62" i="8"/>
  <c r="N125" i="8" s="1"/>
  <c r="O39" i="8" l="1"/>
  <c r="N37" i="10"/>
  <c r="N36" i="10"/>
  <c r="O38" i="8"/>
  <c r="N63" i="8"/>
  <c r="N64" i="8" s="1"/>
  <c r="N127" i="8" l="1"/>
  <c r="N126" i="8"/>
  <c r="N65" i="8"/>
  <c r="N128" i="8" s="1"/>
  <c r="N66" i="8" l="1"/>
  <c r="N129" i="8" s="1"/>
  <c r="O43" i="8" s="1"/>
  <c r="O41" i="8"/>
  <c r="N39" i="10"/>
  <c r="O40" i="8"/>
  <c r="N38" i="10"/>
  <c r="N40" i="10"/>
  <c r="O42" i="8"/>
  <c r="N41" i="10" l="1"/>
  <c r="N67" i="8"/>
  <c r="N130" i="8" s="1"/>
  <c r="N42" i="10" l="1"/>
  <c r="O44" i="8"/>
  <c r="N68" i="8"/>
  <c r="N131" i="8" s="1"/>
  <c r="N43" i="10" l="1"/>
  <c r="N44" i="10" s="1"/>
  <c r="O45" i="8"/>
  <c r="O46" i="8" s="1"/>
  <c r="O52" i="8" s="1"/>
  <c r="N132" i="8"/>
  <c r="N69" i="8"/>
  <c r="N103" i="8" s="1"/>
  <c r="N160" i="8"/>
  <c r="N157" i="8"/>
  <c r="O54" i="8" l="1"/>
  <c r="O60" i="8" s="1"/>
  <c r="O123" i="8" s="1"/>
  <c r="O35" i="10" s="1"/>
  <c r="N52" i="10"/>
  <c r="N58" i="10" s="1"/>
  <c r="N19" i="25"/>
  <c r="N113" i="8"/>
  <c r="N158" i="8"/>
  <c r="N10" i="10"/>
  <c r="O61" i="8" l="1"/>
  <c r="O62" i="8" s="1"/>
  <c r="O125" i="8" s="1"/>
  <c r="O37" i="10" s="1"/>
  <c r="N21" i="25"/>
  <c r="N27" i="10"/>
  <c r="N60" i="10" s="1"/>
  <c r="N18" i="25"/>
  <c r="N22" i="25" s="1"/>
  <c r="N150" i="8"/>
  <c r="N136" i="8"/>
  <c r="O124" i="8"/>
  <c r="O36" i="10" s="1"/>
  <c r="O63" i="8" l="1"/>
  <c r="O126" i="8" s="1"/>
  <c r="O38" i="10" s="1"/>
  <c r="O64" i="8" l="1"/>
  <c r="O127" i="8" s="1"/>
  <c r="O39" i="10" s="1"/>
  <c r="O65" i="8" l="1"/>
  <c r="O128" i="8" s="1"/>
  <c r="O40" i="10" s="1"/>
  <c r="O66" i="8" l="1"/>
  <c r="O129" i="8" s="1"/>
  <c r="O41" i="10" s="1"/>
  <c r="O67" i="8" l="1"/>
  <c r="O130" i="8" s="1"/>
  <c r="O42" i="10" s="1"/>
  <c r="O68" i="8" l="1"/>
  <c r="O131" i="8" s="1"/>
  <c r="O43" i="10" s="1"/>
  <c r="O44" i="10" s="1"/>
  <c r="O19" i="25" s="1"/>
  <c r="O160" i="8"/>
  <c r="O157" i="8"/>
  <c r="O132" i="8"/>
  <c r="O52" i="10" l="1"/>
  <c r="O58" i="10" s="1"/>
  <c r="O69" i="8"/>
  <c r="O103" i="8" s="1"/>
  <c r="O21" i="25"/>
  <c r="O10" i="10"/>
  <c r="O158" i="8"/>
  <c r="O113" i="8"/>
  <c r="O136" i="8" l="1"/>
  <c r="O150" i="8"/>
  <c r="O27" i="10"/>
  <c r="O60" i="10" s="1"/>
  <c r="O18" i="25"/>
  <c r="O22" i="25" s="1"/>
</calcChain>
</file>

<file path=xl/comments1.xml><?xml version="1.0" encoding="utf-8"?>
<comments xmlns="http://schemas.openxmlformats.org/spreadsheetml/2006/main">
  <authors>
    <author>Rishab</author>
    <author>JPMorgan Chase &amp; Co.</author>
  </authors>
  <commentList>
    <comment ref="T8" authorId="0" shapeId="0">
      <text>
        <r>
          <rPr>
            <b/>
            <sz val="9"/>
            <color indexed="81"/>
            <rFont val="Tahoma"/>
            <family val="2"/>
          </rPr>
          <t>Author: change assumptions as necessary</t>
        </r>
        <r>
          <rPr>
            <sz val="9"/>
            <color indexed="81"/>
            <rFont val="Tahoma"/>
            <family val="2"/>
          </rPr>
          <t xml:space="preserve">
</t>
        </r>
      </text>
    </comment>
    <comment ref="U8" authorId="0" shapeId="0">
      <text>
        <r>
          <rPr>
            <b/>
            <sz val="9"/>
            <color indexed="81"/>
            <rFont val="Tahoma"/>
            <family val="2"/>
          </rPr>
          <t>Author: change assumptions as necessary</t>
        </r>
        <r>
          <rPr>
            <sz val="9"/>
            <color indexed="81"/>
            <rFont val="Tahoma"/>
            <family val="2"/>
          </rPr>
          <t xml:space="preserve">
</t>
        </r>
      </text>
    </comment>
    <comment ref="V8" authorId="0" shapeId="0">
      <text>
        <r>
          <rPr>
            <b/>
            <sz val="9"/>
            <color indexed="81"/>
            <rFont val="Tahoma"/>
            <family val="2"/>
          </rPr>
          <t>Author: change assumptions as necessary</t>
        </r>
        <r>
          <rPr>
            <sz val="9"/>
            <color indexed="81"/>
            <rFont val="Tahoma"/>
            <family val="2"/>
          </rPr>
          <t xml:space="preserve">
</t>
        </r>
      </text>
    </comment>
    <comment ref="W8" authorId="0" shapeId="0">
      <text>
        <r>
          <rPr>
            <b/>
            <sz val="9"/>
            <color indexed="81"/>
            <rFont val="Tahoma"/>
            <family val="2"/>
          </rPr>
          <t>Author: change assumptions as necessary</t>
        </r>
        <r>
          <rPr>
            <sz val="9"/>
            <color indexed="81"/>
            <rFont val="Tahoma"/>
            <family val="2"/>
          </rPr>
          <t xml:space="preserve">
</t>
        </r>
      </text>
    </comment>
    <comment ref="X8" authorId="0" shapeId="0">
      <text>
        <r>
          <rPr>
            <b/>
            <sz val="9"/>
            <color indexed="81"/>
            <rFont val="Tahoma"/>
            <family val="2"/>
          </rPr>
          <t>Author: change assumptions as necessary</t>
        </r>
        <r>
          <rPr>
            <sz val="9"/>
            <color indexed="81"/>
            <rFont val="Tahoma"/>
            <family val="2"/>
          </rPr>
          <t xml:space="preserve">
</t>
        </r>
      </text>
    </comment>
    <comment ref="Y8" authorId="0" shapeId="0">
      <text>
        <r>
          <rPr>
            <b/>
            <sz val="9"/>
            <color indexed="81"/>
            <rFont val="Tahoma"/>
            <family val="2"/>
          </rPr>
          <t>Author: change assumptions as necessary</t>
        </r>
        <r>
          <rPr>
            <sz val="9"/>
            <color indexed="81"/>
            <rFont val="Tahoma"/>
            <family val="2"/>
          </rPr>
          <t xml:space="preserve">
</t>
        </r>
      </text>
    </comment>
    <comment ref="Z8" authorId="0" shapeId="0">
      <text>
        <r>
          <rPr>
            <b/>
            <sz val="9"/>
            <color indexed="81"/>
            <rFont val="Tahoma"/>
            <family val="2"/>
          </rPr>
          <t>Author: change assumptions as necessary</t>
        </r>
        <r>
          <rPr>
            <sz val="9"/>
            <color indexed="81"/>
            <rFont val="Tahoma"/>
            <family val="2"/>
          </rPr>
          <t xml:space="preserve">
</t>
        </r>
      </text>
    </comment>
    <comment ref="AA8" authorId="0" shapeId="0">
      <text>
        <r>
          <rPr>
            <b/>
            <sz val="9"/>
            <color indexed="81"/>
            <rFont val="Tahoma"/>
            <family val="2"/>
          </rPr>
          <t>Author: change assumptions as necessary</t>
        </r>
        <r>
          <rPr>
            <sz val="9"/>
            <color indexed="81"/>
            <rFont val="Tahoma"/>
            <family val="2"/>
          </rPr>
          <t xml:space="preserve">
</t>
        </r>
      </text>
    </comment>
    <comment ref="AB8" authorId="0" shapeId="0">
      <text>
        <r>
          <rPr>
            <b/>
            <sz val="9"/>
            <color indexed="81"/>
            <rFont val="Tahoma"/>
            <family val="2"/>
          </rPr>
          <t>Author: change assumptions as necessary</t>
        </r>
        <r>
          <rPr>
            <sz val="9"/>
            <color indexed="81"/>
            <rFont val="Tahoma"/>
            <family val="2"/>
          </rPr>
          <t xml:space="preserve">
</t>
        </r>
      </text>
    </comment>
    <comment ref="AC8" authorId="0" shapeId="0">
      <text>
        <r>
          <rPr>
            <b/>
            <sz val="9"/>
            <color indexed="81"/>
            <rFont val="Tahoma"/>
            <family val="2"/>
          </rPr>
          <t>Author: change assumptions as necessary</t>
        </r>
        <r>
          <rPr>
            <sz val="9"/>
            <color indexed="81"/>
            <rFont val="Tahoma"/>
            <family val="2"/>
          </rPr>
          <t xml:space="preserve">
</t>
        </r>
      </text>
    </comment>
    <comment ref="T13" authorId="0" shapeId="0">
      <text>
        <r>
          <rPr>
            <b/>
            <sz val="9"/>
            <color indexed="81"/>
            <rFont val="Tahoma"/>
            <family val="2"/>
          </rPr>
          <t>Author: change assumptions as necessary</t>
        </r>
        <r>
          <rPr>
            <sz val="9"/>
            <color indexed="81"/>
            <rFont val="Tahoma"/>
            <family val="2"/>
          </rPr>
          <t xml:space="preserve">
</t>
        </r>
      </text>
    </comment>
    <comment ref="U13" authorId="0" shapeId="0">
      <text>
        <r>
          <rPr>
            <b/>
            <sz val="9"/>
            <color indexed="81"/>
            <rFont val="Tahoma"/>
            <family val="2"/>
          </rPr>
          <t>Author: change assumptions as necessary</t>
        </r>
        <r>
          <rPr>
            <sz val="9"/>
            <color indexed="81"/>
            <rFont val="Tahoma"/>
            <family val="2"/>
          </rPr>
          <t xml:space="preserve">
</t>
        </r>
      </text>
    </comment>
    <comment ref="V13" authorId="0" shapeId="0">
      <text>
        <r>
          <rPr>
            <b/>
            <sz val="9"/>
            <color indexed="81"/>
            <rFont val="Tahoma"/>
            <family val="2"/>
          </rPr>
          <t>Author: change assumptions as necessary</t>
        </r>
        <r>
          <rPr>
            <sz val="9"/>
            <color indexed="81"/>
            <rFont val="Tahoma"/>
            <family val="2"/>
          </rPr>
          <t xml:space="preserve">
</t>
        </r>
      </text>
    </comment>
    <comment ref="W13" authorId="0" shapeId="0">
      <text>
        <r>
          <rPr>
            <b/>
            <sz val="9"/>
            <color indexed="81"/>
            <rFont val="Tahoma"/>
            <family val="2"/>
          </rPr>
          <t>Author: change assumptions as necessary</t>
        </r>
        <r>
          <rPr>
            <sz val="9"/>
            <color indexed="81"/>
            <rFont val="Tahoma"/>
            <family val="2"/>
          </rPr>
          <t xml:space="preserve">
</t>
        </r>
      </text>
    </comment>
    <comment ref="X13" authorId="0" shapeId="0">
      <text>
        <r>
          <rPr>
            <b/>
            <sz val="9"/>
            <color indexed="81"/>
            <rFont val="Tahoma"/>
            <family val="2"/>
          </rPr>
          <t>Author: change assumptions as necessary</t>
        </r>
        <r>
          <rPr>
            <sz val="9"/>
            <color indexed="81"/>
            <rFont val="Tahoma"/>
            <family val="2"/>
          </rPr>
          <t xml:space="preserve">
</t>
        </r>
      </text>
    </comment>
    <comment ref="Y13" authorId="0" shapeId="0">
      <text>
        <r>
          <rPr>
            <b/>
            <sz val="9"/>
            <color indexed="81"/>
            <rFont val="Tahoma"/>
            <family val="2"/>
          </rPr>
          <t>Author: change assumptions as necessary</t>
        </r>
        <r>
          <rPr>
            <sz val="9"/>
            <color indexed="81"/>
            <rFont val="Tahoma"/>
            <family val="2"/>
          </rPr>
          <t xml:space="preserve">
</t>
        </r>
      </text>
    </comment>
    <comment ref="Z13" authorId="0" shapeId="0">
      <text>
        <r>
          <rPr>
            <b/>
            <sz val="9"/>
            <color indexed="81"/>
            <rFont val="Tahoma"/>
            <family val="2"/>
          </rPr>
          <t>Author: change assumptions as necessary</t>
        </r>
        <r>
          <rPr>
            <sz val="9"/>
            <color indexed="81"/>
            <rFont val="Tahoma"/>
            <family val="2"/>
          </rPr>
          <t xml:space="preserve">
</t>
        </r>
      </text>
    </comment>
    <comment ref="AA13" authorId="0" shapeId="0">
      <text>
        <r>
          <rPr>
            <b/>
            <sz val="9"/>
            <color indexed="81"/>
            <rFont val="Tahoma"/>
            <family val="2"/>
          </rPr>
          <t>Author: change assumptions as necessary</t>
        </r>
        <r>
          <rPr>
            <sz val="9"/>
            <color indexed="81"/>
            <rFont val="Tahoma"/>
            <family val="2"/>
          </rPr>
          <t xml:space="preserve">
</t>
        </r>
      </text>
    </comment>
    <comment ref="AB13" authorId="0" shapeId="0">
      <text>
        <r>
          <rPr>
            <b/>
            <sz val="9"/>
            <color indexed="81"/>
            <rFont val="Tahoma"/>
            <family val="2"/>
          </rPr>
          <t>Author: change assumptions as necessary</t>
        </r>
        <r>
          <rPr>
            <sz val="9"/>
            <color indexed="81"/>
            <rFont val="Tahoma"/>
            <family val="2"/>
          </rPr>
          <t xml:space="preserve">
</t>
        </r>
      </text>
    </comment>
    <comment ref="AC13" authorId="0" shapeId="0">
      <text>
        <r>
          <rPr>
            <b/>
            <sz val="9"/>
            <color indexed="81"/>
            <rFont val="Tahoma"/>
            <family val="2"/>
          </rPr>
          <t>Author: change assumptions as necessary</t>
        </r>
        <r>
          <rPr>
            <sz val="9"/>
            <color indexed="81"/>
            <rFont val="Tahoma"/>
            <family val="2"/>
          </rPr>
          <t xml:space="preserve">
</t>
        </r>
      </text>
    </comment>
    <comment ref="T14" authorId="0" shapeId="0">
      <text>
        <r>
          <rPr>
            <b/>
            <sz val="9"/>
            <color indexed="81"/>
            <rFont val="Tahoma"/>
            <family val="2"/>
          </rPr>
          <t>Author: change assumptions as necessary</t>
        </r>
        <r>
          <rPr>
            <sz val="9"/>
            <color indexed="81"/>
            <rFont val="Tahoma"/>
            <family val="2"/>
          </rPr>
          <t xml:space="preserve">
</t>
        </r>
      </text>
    </comment>
    <comment ref="U14" authorId="0" shapeId="0">
      <text>
        <r>
          <rPr>
            <b/>
            <sz val="9"/>
            <color indexed="81"/>
            <rFont val="Tahoma"/>
            <family val="2"/>
          </rPr>
          <t>Author: change assumptions as necessary</t>
        </r>
        <r>
          <rPr>
            <sz val="9"/>
            <color indexed="81"/>
            <rFont val="Tahoma"/>
            <family val="2"/>
          </rPr>
          <t xml:space="preserve">
</t>
        </r>
      </text>
    </comment>
    <comment ref="V14" authorId="0" shapeId="0">
      <text>
        <r>
          <rPr>
            <b/>
            <sz val="9"/>
            <color indexed="81"/>
            <rFont val="Tahoma"/>
            <family val="2"/>
          </rPr>
          <t>Author: change assumptions as necessary</t>
        </r>
        <r>
          <rPr>
            <sz val="9"/>
            <color indexed="81"/>
            <rFont val="Tahoma"/>
            <family val="2"/>
          </rPr>
          <t xml:space="preserve">
</t>
        </r>
      </text>
    </comment>
    <comment ref="W14" authorId="0" shapeId="0">
      <text>
        <r>
          <rPr>
            <b/>
            <sz val="9"/>
            <color indexed="81"/>
            <rFont val="Tahoma"/>
            <family val="2"/>
          </rPr>
          <t>Author: change assumptions as necessary</t>
        </r>
        <r>
          <rPr>
            <sz val="9"/>
            <color indexed="81"/>
            <rFont val="Tahoma"/>
            <family val="2"/>
          </rPr>
          <t xml:space="preserve">
</t>
        </r>
      </text>
    </comment>
    <comment ref="X14" authorId="0" shapeId="0">
      <text>
        <r>
          <rPr>
            <b/>
            <sz val="9"/>
            <color indexed="81"/>
            <rFont val="Tahoma"/>
            <family val="2"/>
          </rPr>
          <t>Author: change assumptions as necessary</t>
        </r>
        <r>
          <rPr>
            <sz val="9"/>
            <color indexed="81"/>
            <rFont val="Tahoma"/>
            <family val="2"/>
          </rPr>
          <t xml:space="preserve">
</t>
        </r>
      </text>
    </comment>
    <comment ref="Y14" authorId="0" shapeId="0">
      <text>
        <r>
          <rPr>
            <b/>
            <sz val="9"/>
            <color indexed="81"/>
            <rFont val="Tahoma"/>
            <family val="2"/>
          </rPr>
          <t>Author: change assumptions as necessary</t>
        </r>
        <r>
          <rPr>
            <sz val="9"/>
            <color indexed="81"/>
            <rFont val="Tahoma"/>
            <family val="2"/>
          </rPr>
          <t xml:space="preserve">
</t>
        </r>
      </text>
    </comment>
    <comment ref="Z14" authorId="0" shapeId="0">
      <text>
        <r>
          <rPr>
            <b/>
            <sz val="9"/>
            <color indexed="81"/>
            <rFont val="Tahoma"/>
            <family val="2"/>
          </rPr>
          <t>Author: change assumptions as necessary</t>
        </r>
        <r>
          <rPr>
            <sz val="9"/>
            <color indexed="81"/>
            <rFont val="Tahoma"/>
            <family val="2"/>
          </rPr>
          <t xml:space="preserve">
</t>
        </r>
      </text>
    </comment>
    <comment ref="AA14" authorId="0" shapeId="0">
      <text>
        <r>
          <rPr>
            <b/>
            <sz val="9"/>
            <color indexed="81"/>
            <rFont val="Tahoma"/>
            <family val="2"/>
          </rPr>
          <t>Author: change assumptions as necessary</t>
        </r>
        <r>
          <rPr>
            <sz val="9"/>
            <color indexed="81"/>
            <rFont val="Tahoma"/>
            <family val="2"/>
          </rPr>
          <t xml:space="preserve">
</t>
        </r>
      </text>
    </comment>
    <comment ref="AB14" authorId="0" shapeId="0">
      <text>
        <r>
          <rPr>
            <b/>
            <sz val="9"/>
            <color indexed="81"/>
            <rFont val="Tahoma"/>
            <family val="2"/>
          </rPr>
          <t>Author: change assumptions as necessary</t>
        </r>
        <r>
          <rPr>
            <sz val="9"/>
            <color indexed="81"/>
            <rFont val="Tahoma"/>
            <family val="2"/>
          </rPr>
          <t xml:space="preserve">
</t>
        </r>
      </text>
    </comment>
    <comment ref="AC14" authorId="0" shapeId="0">
      <text>
        <r>
          <rPr>
            <b/>
            <sz val="9"/>
            <color indexed="81"/>
            <rFont val="Tahoma"/>
            <family val="2"/>
          </rPr>
          <t>Author: change assumptions as necessary</t>
        </r>
        <r>
          <rPr>
            <sz val="9"/>
            <color indexed="81"/>
            <rFont val="Tahoma"/>
            <family val="2"/>
          </rPr>
          <t xml:space="preserve">
</t>
        </r>
      </text>
    </comment>
    <comment ref="T15" authorId="0" shapeId="0">
      <text>
        <r>
          <rPr>
            <b/>
            <sz val="9"/>
            <color indexed="81"/>
            <rFont val="Tahoma"/>
            <family val="2"/>
          </rPr>
          <t>Author: change assumptions as necessary</t>
        </r>
        <r>
          <rPr>
            <sz val="9"/>
            <color indexed="81"/>
            <rFont val="Tahoma"/>
            <family val="2"/>
          </rPr>
          <t xml:space="preserve">
</t>
        </r>
      </text>
    </comment>
    <comment ref="U15" authorId="0" shapeId="0">
      <text>
        <r>
          <rPr>
            <b/>
            <sz val="9"/>
            <color indexed="81"/>
            <rFont val="Tahoma"/>
            <family val="2"/>
          </rPr>
          <t>Author: change assumptions as necessary</t>
        </r>
        <r>
          <rPr>
            <sz val="9"/>
            <color indexed="81"/>
            <rFont val="Tahoma"/>
            <family val="2"/>
          </rPr>
          <t xml:space="preserve">
</t>
        </r>
      </text>
    </comment>
    <comment ref="V15" authorId="0" shapeId="0">
      <text>
        <r>
          <rPr>
            <b/>
            <sz val="9"/>
            <color indexed="81"/>
            <rFont val="Tahoma"/>
            <family val="2"/>
          </rPr>
          <t>Author: change assumptions as necessary</t>
        </r>
        <r>
          <rPr>
            <sz val="9"/>
            <color indexed="81"/>
            <rFont val="Tahoma"/>
            <family val="2"/>
          </rPr>
          <t xml:space="preserve">
</t>
        </r>
      </text>
    </comment>
    <comment ref="W15" authorId="0" shapeId="0">
      <text>
        <r>
          <rPr>
            <b/>
            <sz val="9"/>
            <color indexed="81"/>
            <rFont val="Tahoma"/>
            <family val="2"/>
          </rPr>
          <t>Author: change assumptions as necessary</t>
        </r>
        <r>
          <rPr>
            <sz val="9"/>
            <color indexed="81"/>
            <rFont val="Tahoma"/>
            <family val="2"/>
          </rPr>
          <t xml:space="preserve">
</t>
        </r>
      </text>
    </comment>
    <comment ref="X15" authorId="0" shapeId="0">
      <text>
        <r>
          <rPr>
            <b/>
            <sz val="9"/>
            <color indexed="81"/>
            <rFont val="Tahoma"/>
            <family val="2"/>
          </rPr>
          <t>Author: change assumptions as necessary</t>
        </r>
        <r>
          <rPr>
            <sz val="9"/>
            <color indexed="81"/>
            <rFont val="Tahoma"/>
            <family val="2"/>
          </rPr>
          <t xml:space="preserve">
</t>
        </r>
      </text>
    </comment>
    <comment ref="Y15" authorId="0" shapeId="0">
      <text>
        <r>
          <rPr>
            <b/>
            <sz val="9"/>
            <color indexed="81"/>
            <rFont val="Tahoma"/>
            <family val="2"/>
          </rPr>
          <t>Author: change assumptions as necessary</t>
        </r>
        <r>
          <rPr>
            <sz val="9"/>
            <color indexed="81"/>
            <rFont val="Tahoma"/>
            <family val="2"/>
          </rPr>
          <t xml:space="preserve">
</t>
        </r>
      </text>
    </comment>
    <comment ref="Z15" authorId="0" shapeId="0">
      <text>
        <r>
          <rPr>
            <b/>
            <sz val="9"/>
            <color indexed="81"/>
            <rFont val="Tahoma"/>
            <family val="2"/>
          </rPr>
          <t>Author: change assumptions as necessary</t>
        </r>
        <r>
          <rPr>
            <sz val="9"/>
            <color indexed="81"/>
            <rFont val="Tahoma"/>
            <family val="2"/>
          </rPr>
          <t xml:space="preserve">
</t>
        </r>
      </text>
    </comment>
    <comment ref="AA15" authorId="0" shapeId="0">
      <text>
        <r>
          <rPr>
            <b/>
            <sz val="9"/>
            <color indexed="81"/>
            <rFont val="Tahoma"/>
            <family val="2"/>
          </rPr>
          <t>Author: change assumptions as necessary</t>
        </r>
        <r>
          <rPr>
            <sz val="9"/>
            <color indexed="81"/>
            <rFont val="Tahoma"/>
            <family val="2"/>
          </rPr>
          <t xml:space="preserve">
</t>
        </r>
      </text>
    </comment>
    <comment ref="AB15" authorId="0" shapeId="0">
      <text>
        <r>
          <rPr>
            <b/>
            <sz val="9"/>
            <color indexed="81"/>
            <rFont val="Tahoma"/>
            <family val="2"/>
          </rPr>
          <t>Author: change assumptions as necessary</t>
        </r>
        <r>
          <rPr>
            <sz val="9"/>
            <color indexed="81"/>
            <rFont val="Tahoma"/>
            <family val="2"/>
          </rPr>
          <t xml:space="preserve">
</t>
        </r>
      </text>
    </comment>
    <comment ref="AC15" authorId="0" shapeId="0">
      <text>
        <r>
          <rPr>
            <b/>
            <sz val="9"/>
            <color indexed="81"/>
            <rFont val="Tahoma"/>
            <family val="2"/>
          </rPr>
          <t>Author: change assumptions as necessary</t>
        </r>
        <r>
          <rPr>
            <sz val="9"/>
            <color indexed="81"/>
            <rFont val="Tahoma"/>
            <family val="2"/>
          </rPr>
          <t xml:space="preserve">
</t>
        </r>
      </text>
    </comment>
    <comment ref="F16" authorId="0" shapeId="0">
      <text>
        <r>
          <rPr>
            <b/>
            <sz val="9"/>
            <color indexed="81"/>
            <rFont val="Tahoma"/>
            <family val="2"/>
          </rPr>
          <t>To be entered by user after reading notes to the financial statements</t>
        </r>
      </text>
    </comment>
    <comment ref="G16" authorId="0" shapeId="0">
      <text>
        <r>
          <rPr>
            <b/>
            <sz val="9"/>
            <color indexed="81"/>
            <rFont val="Tahoma"/>
            <family val="2"/>
          </rPr>
          <t>To be entered by user after reading notes to the financial statements</t>
        </r>
      </text>
    </comment>
    <comment ref="T16" authorId="0" shapeId="0">
      <text>
        <r>
          <rPr>
            <b/>
            <sz val="9"/>
            <color indexed="81"/>
            <rFont val="Tahoma"/>
            <family val="2"/>
          </rPr>
          <t>Author: change assumptions as necessary</t>
        </r>
        <r>
          <rPr>
            <sz val="9"/>
            <color indexed="81"/>
            <rFont val="Tahoma"/>
            <family val="2"/>
          </rPr>
          <t xml:space="preserve">
</t>
        </r>
      </text>
    </comment>
    <comment ref="U16" authorId="0" shapeId="0">
      <text>
        <r>
          <rPr>
            <b/>
            <sz val="9"/>
            <color indexed="81"/>
            <rFont val="Tahoma"/>
            <family val="2"/>
          </rPr>
          <t>Author: change assumptions as necessary</t>
        </r>
        <r>
          <rPr>
            <sz val="9"/>
            <color indexed="81"/>
            <rFont val="Tahoma"/>
            <family val="2"/>
          </rPr>
          <t xml:space="preserve">
</t>
        </r>
      </text>
    </comment>
    <comment ref="V16" authorId="0" shapeId="0">
      <text>
        <r>
          <rPr>
            <b/>
            <sz val="9"/>
            <color indexed="81"/>
            <rFont val="Tahoma"/>
            <family val="2"/>
          </rPr>
          <t>Author: change assumptions as necessary</t>
        </r>
        <r>
          <rPr>
            <sz val="9"/>
            <color indexed="81"/>
            <rFont val="Tahoma"/>
            <family val="2"/>
          </rPr>
          <t xml:space="preserve">
</t>
        </r>
      </text>
    </comment>
    <comment ref="W16" authorId="0" shapeId="0">
      <text>
        <r>
          <rPr>
            <b/>
            <sz val="9"/>
            <color indexed="81"/>
            <rFont val="Tahoma"/>
            <family val="2"/>
          </rPr>
          <t>Author: change assumptions as necessary</t>
        </r>
        <r>
          <rPr>
            <sz val="9"/>
            <color indexed="81"/>
            <rFont val="Tahoma"/>
            <family val="2"/>
          </rPr>
          <t xml:space="preserve">
</t>
        </r>
      </text>
    </comment>
    <comment ref="X16" authorId="0" shapeId="0">
      <text>
        <r>
          <rPr>
            <b/>
            <sz val="9"/>
            <color indexed="81"/>
            <rFont val="Tahoma"/>
            <family val="2"/>
          </rPr>
          <t>Author: change assumptions as necessary</t>
        </r>
        <r>
          <rPr>
            <sz val="9"/>
            <color indexed="81"/>
            <rFont val="Tahoma"/>
            <family val="2"/>
          </rPr>
          <t xml:space="preserve">
</t>
        </r>
      </text>
    </comment>
    <comment ref="Y16" authorId="0" shapeId="0">
      <text>
        <r>
          <rPr>
            <b/>
            <sz val="9"/>
            <color indexed="81"/>
            <rFont val="Tahoma"/>
            <family val="2"/>
          </rPr>
          <t>Author: change assumptions as necessary</t>
        </r>
        <r>
          <rPr>
            <sz val="9"/>
            <color indexed="81"/>
            <rFont val="Tahoma"/>
            <family val="2"/>
          </rPr>
          <t xml:space="preserve">
</t>
        </r>
      </text>
    </comment>
    <comment ref="Z16" authorId="0" shapeId="0">
      <text>
        <r>
          <rPr>
            <b/>
            <sz val="9"/>
            <color indexed="81"/>
            <rFont val="Tahoma"/>
            <family val="2"/>
          </rPr>
          <t>Author: change assumptions as necessary</t>
        </r>
        <r>
          <rPr>
            <sz val="9"/>
            <color indexed="81"/>
            <rFont val="Tahoma"/>
            <family val="2"/>
          </rPr>
          <t xml:space="preserve">
</t>
        </r>
      </text>
    </comment>
    <comment ref="AA16" authorId="0" shapeId="0">
      <text>
        <r>
          <rPr>
            <b/>
            <sz val="9"/>
            <color indexed="81"/>
            <rFont val="Tahoma"/>
            <family val="2"/>
          </rPr>
          <t>Author: change assumptions as necessary</t>
        </r>
        <r>
          <rPr>
            <sz val="9"/>
            <color indexed="81"/>
            <rFont val="Tahoma"/>
            <family val="2"/>
          </rPr>
          <t xml:space="preserve">
</t>
        </r>
      </text>
    </comment>
    <comment ref="AB16" authorId="0" shapeId="0">
      <text>
        <r>
          <rPr>
            <b/>
            <sz val="9"/>
            <color indexed="81"/>
            <rFont val="Tahoma"/>
            <family val="2"/>
          </rPr>
          <t>Author: change assumptions as necessary</t>
        </r>
        <r>
          <rPr>
            <sz val="9"/>
            <color indexed="81"/>
            <rFont val="Tahoma"/>
            <family val="2"/>
          </rPr>
          <t xml:space="preserve">
</t>
        </r>
      </text>
    </comment>
    <comment ref="AC16" authorId="0" shapeId="0">
      <text>
        <r>
          <rPr>
            <b/>
            <sz val="9"/>
            <color indexed="81"/>
            <rFont val="Tahoma"/>
            <family val="2"/>
          </rPr>
          <t>Author: change assumptions as necessary</t>
        </r>
        <r>
          <rPr>
            <sz val="9"/>
            <color indexed="81"/>
            <rFont val="Tahoma"/>
            <family val="2"/>
          </rPr>
          <t xml:space="preserve">
</t>
        </r>
      </text>
    </comment>
    <comment ref="T17" authorId="0" shapeId="0">
      <text>
        <r>
          <rPr>
            <b/>
            <sz val="9"/>
            <color indexed="81"/>
            <rFont val="Tahoma"/>
            <family val="2"/>
          </rPr>
          <t>Author: change assumptions as necessary</t>
        </r>
        <r>
          <rPr>
            <sz val="9"/>
            <color indexed="81"/>
            <rFont val="Tahoma"/>
            <family val="2"/>
          </rPr>
          <t xml:space="preserve">
</t>
        </r>
      </text>
    </comment>
    <comment ref="U17" authorId="0" shapeId="0">
      <text>
        <r>
          <rPr>
            <b/>
            <sz val="9"/>
            <color indexed="81"/>
            <rFont val="Tahoma"/>
            <family val="2"/>
          </rPr>
          <t>Author: change assumptions as necessary</t>
        </r>
        <r>
          <rPr>
            <sz val="9"/>
            <color indexed="81"/>
            <rFont val="Tahoma"/>
            <family val="2"/>
          </rPr>
          <t xml:space="preserve">
</t>
        </r>
      </text>
    </comment>
    <comment ref="V17" authorId="0" shapeId="0">
      <text>
        <r>
          <rPr>
            <b/>
            <sz val="9"/>
            <color indexed="81"/>
            <rFont val="Tahoma"/>
            <family val="2"/>
          </rPr>
          <t>Author: change assumptions as necessary</t>
        </r>
        <r>
          <rPr>
            <sz val="9"/>
            <color indexed="81"/>
            <rFont val="Tahoma"/>
            <family val="2"/>
          </rPr>
          <t xml:space="preserve">
</t>
        </r>
      </text>
    </comment>
    <comment ref="W17" authorId="0" shapeId="0">
      <text>
        <r>
          <rPr>
            <b/>
            <sz val="9"/>
            <color indexed="81"/>
            <rFont val="Tahoma"/>
            <family val="2"/>
          </rPr>
          <t>Author: change assumptions as necessary</t>
        </r>
        <r>
          <rPr>
            <sz val="9"/>
            <color indexed="81"/>
            <rFont val="Tahoma"/>
            <family val="2"/>
          </rPr>
          <t xml:space="preserve">
</t>
        </r>
      </text>
    </comment>
    <comment ref="X17" authorId="0" shapeId="0">
      <text>
        <r>
          <rPr>
            <b/>
            <sz val="9"/>
            <color indexed="81"/>
            <rFont val="Tahoma"/>
            <family val="2"/>
          </rPr>
          <t>Author: change assumptions as necessary</t>
        </r>
        <r>
          <rPr>
            <sz val="9"/>
            <color indexed="81"/>
            <rFont val="Tahoma"/>
            <family val="2"/>
          </rPr>
          <t xml:space="preserve">
</t>
        </r>
      </text>
    </comment>
    <comment ref="Y17" authorId="0" shapeId="0">
      <text>
        <r>
          <rPr>
            <b/>
            <sz val="9"/>
            <color indexed="81"/>
            <rFont val="Tahoma"/>
            <family val="2"/>
          </rPr>
          <t>Author: change assumptions as necessary</t>
        </r>
        <r>
          <rPr>
            <sz val="9"/>
            <color indexed="81"/>
            <rFont val="Tahoma"/>
            <family val="2"/>
          </rPr>
          <t xml:space="preserve">
</t>
        </r>
      </text>
    </comment>
    <comment ref="Z17" authorId="0" shapeId="0">
      <text>
        <r>
          <rPr>
            <b/>
            <sz val="9"/>
            <color indexed="81"/>
            <rFont val="Tahoma"/>
            <family val="2"/>
          </rPr>
          <t>Author: change assumptions as necessary</t>
        </r>
        <r>
          <rPr>
            <sz val="9"/>
            <color indexed="81"/>
            <rFont val="Tahoma"/>
            <family val="2"/>
          </rPr>
          <t xml:space="preserve">
</t>
        </r>
      </text>
    </comment>
    <comment ref="AA17" authorId="0" shapeId="0">
      <text>
        <r>
          <rPr>
            <b/>
            <sz val="9"/>
            <color indexed="81"/>
            <rFont val="Tahoma"/>
            <family val="2"/>
          </rPr>
          <t>Author: change assumptions as necessary</t>
        </r>
        <r>
          <rPr>
            <sz val="9"/>
            <color indexed="81"/>
            <rFont val="Tahoma"/>
            <family val="2"/>
          </rPr>
          <t xml:space="preserve">
</t>
        </r>
      </text>
    </comment>
    <comment ref="AB17" authorId="0" shapeId="0">
      <text>
        <r>
          <rPr>
            <b/>
            <sz val="9"/>
            <color indexed="81"/>
            <rFont val="Tahoma"/>
            <family val="2"/>
          </rPr>
          <t>Author: change assumptions as necessary</t>
        </r>
        <r>
          <rPr>
            <sz val="9"/>
            <color indexed="81"/>
            <rFont val="Tahoma"/>
            <family val="2"/>
          </rPr>
          <t xml:space="preserve">
</t>
        </r>
      </text>
    </comment>
    <comment ref="AC17" authorId="0" shapeId="0">
      <text>
        <r>
          <rPr>
            <b/>
            <sz val="9"/>
            <color indexed="81"/>
            <rFont val="Tahoma"/>
            <family val="2"/>
          </rPr>
          <t>Author: change assumptions as necessary</t>
        </r>
        <r>
          <rPr>
            <sz val="9"/>
            <color indexed="81"/>
            <rFont val="Tahoma"/>
            <family val="2"/>
          </rPr>
          <t xml:space="preserve">
</t>
        </r>
      </text>
    </comment>
    <comment ref="T26" authorId="0" shapeId="0">
      <text>
        <r>
          <rPr>
            <b/>
            <sz val="9"/>
            <color indexed="81"/>
            <rFont val="Tahoma"/>
            <family val="2"/>
          </rPr>
          <t>Author: change assumptions as necessary</t>
        </r>
        <r>
          <rPr>
            <sz val="9"/>
            <color indexed="81"/>
            <rFont val="Tahoma"/>
            <family val="2"/>
          </rPr>
          <t xml:space="preserve">
</t>
        </r>
      </text>
    </comment>
    <comment ref="U26" authorId="0" shapeId="0">
      <text>
        <r>
          <rPr>
            <b/>
            <sz val="9"/>
            <color indexed="81"/>
            <rFont val="Tahoma"/>
            <family val="2"/>
          </rPr>
          <t>Author: change assumptions as necessary</t>
        </r>
        <r>
          <rPr>
            <sz val="9"/>
            <color indexed="81"/>
            <rFont val="Tahoma"/>
            <family val="2"/>
          </rPr>
          <t xml:space="preserve">
</t>
        </r>
      </text>
    </comment>
    <comment ref="V26" authorId="0" shapeId="0">
      <text>
        <r>
          <rPr>
            <b/>
            <sz val="9"/>
            <color indexed="81"/>
            <rFont val="Tahoma"/>
            <family val="2"/>
          </rPr>
          <t>Author: change assumptions as necessary</t>
        </r>
        <r>
          <rPr>
            <sz val="9"/>
            <color indexed="81"/>
            <rFont val="Tahoma"/>
            <family val="2"/>
          </rPr>
          <t xml:space="preserve">
</t>
        </r>
      </text>
    </comment>
    <comment ref="W26" authorId="0" shapeId="0">
      <text>
        <r>
          <rPr>
            <b/>
            <sz val="9"/>
            <color indexed="81"/>
            <rFont val="Tahoma"/>
            <family val="2"/>
          </rPr>
          <t>Author: change assumptions as necessary</t>
        </r>
        <r>
          <rPr>
            <sz val="9"/>
            <color indexed="81"/>
            <rFont val="Tahoma"/>
            <family val="2"/>
          </rPr>
          <t xml:space="preserve">
</t>
        </r>
      </text>
    </comment>
    <comment ref="X26" authorId="0" shapeId="0">
      <text>
        <r>
          <rPr>
            <b/>
            <sz val="9"/>
            <color indexed="81"/>
            <rFont val="Tahoma"/>
            <family val="2"/>
          </rPr>
          <t>Author: change assumptions as necessary</t>
        </r>
        <r>
          <rPr>
            <sz val="9"/>
            <color indexed="81"/>
            <rFont val="Tahoma"/>
            <family val="2"/>
          </rPr>
          <t xml:space="preserve">
</t>
        </r>
      </text>
    </comment>
    <comment ref="Y26" authorId="0" shapeId="0">
      <text>
        <r>
          <rPr>
            <b/>
            <sz val="9"/>
            <color indexed="81"/>
            <rFont val="Tahoma"/>
            <family val="2"/>
          </rPr>
          <t>Author: change assumptions as necessary</t>
        </r>
        <r>
          <rPr>
            <sz val="9"/>
            <color indexed="81"/>
            <rFont val="Tahoma"/>
            <family val="2"/>
          </rPr>
          <t xml:space="preserve">
</t>
        </r>
      </text>
    </comment>
    <comment ref="Z26" authorId="0" shapeId="0">
      <text>
        <r>
          <rPr>
            <b/>
            <sz val="9"/>
            <color indexed="81"/>
            <rFont val="Tahoma"/>
            <family val="2"/>
          </rPr>
          <t>Author: change assumptions as necessary</t>
        </r>
        <r>
          <rPr>
            <sz val="9"/>
            <color indexed="81"/>
            <rFont val="Tahoma"/>
            <family val="2"/>
          </rPr>
          <t xml:space="preserve">
</t>
        </r>
      </text>
    </comment>
    <comment ref="AA26" authorId="0" shapeId="0">
      <text>
        <r>
          <rPr>
            <b/>
            <sz val="9"/>
            <color indexed="81"/>
            <rFont val="Tahoma"/>
            <family val="2"/>
          </rPr>
          <t>Author: change assumptions as necessary</t>
        </r>
        <r>
          <rPr>
            <sz val="9"/>
            <color indexed="81"/>
            <rFont val="Tahoma"/>
            <family val="2"/>
          </rPr>
          <t xml:space="preserve">
</t>
        </r>
      </text>
    </comment>
    <comment ref="AB26" authorId="0" shapeId="0">
      <text>
        <r>
          <rPr>
            <b/>
            <sz val="9"/>
            <color indexed="81"/>
            <rFont val="Tahoma"/>
            <family val="2"/>
          </rPr>
          <t>Author: change assumptions as necessary</t>
        </r>
        <r>
          <rPr>
            <sz val="9"/>
            <color indexed="81"/>
            <rFont val="Tahoma"/>
            <family val="2"/>
          </rPr>
          <t xml:space="preserve">
</t>
        </r>
      </text>
    </comment>
    <comment ref="AC26" authorId="0" shapeId="0">
      <text>
        <r>
          <rPr>
            <b/>
            <sz val="9"/>
            <color indexed="81"/>
            <rFont val="Tahoma"/>
            <family val="2"/>
          </rPr>
          <t>Author: change assumptions as necessary</t>
        </r>
        <r>
          <rPr>
            <sz val="9"/>
            <color indexed="81"/>
            <rFont val="Tahoma"/>
            <family val="2"/>
          </rPr>
          <t xml:space="preserve">
</t>
        </r>
      </text>
    </comment>
    <comment ref="H31" authorId="1" shapeId="0">
      <text>
        <r>
          <rPr>
            <b/>
            <sz val="9"/>
            <color indexed="81"/>
            <rFont val="Tahoma"/>
            <family val="2"/>
          </rPr>
          <t>Author:
Interest expense will be calculated on the cash flow ("CF") sheet</t>
        </r>
        <r>
          <rPr>
            <sz val="9"/>
            <color indexed="81"/>
            <rFont val="Tahoma"/>
            <family val="2"/>
          </rPr>
          <t xml:space="preserve">
</t>
        </r>
      </text>
    </comment>
    <comment ref="I31" authorId="1" shapeId="0">
      <text>
        <r>
          <rPr>
            <b/>
            <sz val="9"/>
            <color indexed="81"/>
            <rFont val="Tahoma"/>
            <family val="2"/>
          </rPr>
          <t>Author:
Interest expense will be calculated on the cash flow ("CF") sheet</t>
        </r>
        <r>
          <rPr>
            <sz val="9"/>
            <color indexed="81"/>
            <rFont val="Tahoma"/>
            <family val="2"/>
          </rPr>
          <t xml:space="preserve">
</t>
        </r>
      </text>
    </comment>
    <comment ref="J31" authorId="1" shapeId="0">
      <text>
        <r>
          <rPr>
            <b/>
            <sz val="9"/>
            <color indexed="81"/>
            <rFont val="Tahoma"/>
            <family val="2"/>
          </rPr>
          <t>Author:
Interest expense will be calculated on the cash flow ("CF") sheet</t>
        </r>
        <r>
          <rPr>
            <sz val="9"/>
            <color indexed="81"/>
            <rFont val="Tahoma"/>
            <family val="2"/>
          </rPr>
          <t xml:space="preserve">
</t>
        </r>
      </text>
    </comment>
    <comment ref="K31" authorId="1" shapeId="0">
      <text>
        <r>
          <rPr>
            <b/>
            <sz val="9"/>
            <color indexed="81"/>
            <rFont val="Tahoma"/>
            <family val="2"/>
          </rPr>
          <t>Author:
Interest expense will be calculated on the cash flow ("CF") sheet</t>
        </r>
        <r>
          <rPr>
            <sz val="9"/>
            <color indexed="81"/>
            <rFont val="Tahoma"/>
            <family val="2"/>
          </rPr>
          <t xml:space="preserve">
</t>
        </r>
      </text>
    </comment>
    <comment ref="L31" authorId="1" shapeId="0">
      <text>
        <r>
          <rPr>
            <b/>
            <sz val="9"/>
            <color indexed="81"/>
            <rFont val="Tahoma"/>
            <family val="2"/>
          </rPr>
          <t>Author:
Interest expense will be calculated on the cash flow ("CF") sheet</t>
        </r>
        <r>
          <rPr>
            <sz val="9"/>
            <color indexed="81"/>
            <rFont val="Tahoma"/>
            <family val="2"/>
          </rPr>
          <t xml:space="preserve">
</t>
        </r>
      </text>
    </comment>
    <comment ref="M31" authorId="1" shapeId="0">
      <text>
        <r>
          <rPr>
            <b/>
            <sz val="9"/>
            <color indexed="81"/>
            <rFont val="Tahoma"/>
            <family val="2"/>
          </rPr>
          <t>Author:
Interest expense will be calculated on the cash flow ("CF") sheet</t>
        </r>
        <r>
          <rPr>
            <sz val="9"/>
            <color indexed="81"/>
            <rFont val="Tahoma"/>
            <family val="2"/>
          </rPr>
          <t xml:space="preserve">
</t>
        </r>
      </text>
    </comment>
    <comment ref="N31" authorId="1" shapeId="0">
      <text>
        <r>
          <rPr>
            <b/>
            <sz val="9"/>
            <color indexed="81"/>
            <rFont val="Tahoma"/>
            <family val="2"/>
          </rPr>
          <t>Author:
Interest expense will be calculated on the cash flow ("CF") sheet</t>
        </r>
        <r>
          <rPr>
            <sz val="9"/>
            <color indexed="81"/>
            <rFont val="Tahoma"/>
            <family val="2"/>
          </rPr>
          <t xml:space="preserve">
</t>
        </r>
      </text>
    </comment>
    <comment ref="O31" authorId="1" shapeId="0">
      <text>
        <r>
          <rPr>
            <b/>
            <sz val="9"/>
            <color indexed="81"/>
            <rFont val="Tahoma"/>
            <family val="2"/>
          </rPr>
          <t>Author:
Interest expense will be calculated on the cash flow ("CF") sheet</t>
        </r>
        <r>
          <rPr>
            <sz val="9"/>
            <color indexed="81"/>
            <rFont val="Tahoma"/>
            <family val="2"/>
          </rPr>
          <t xml:space="preserve">
</t>
        </r>
      </text>
    </comment>
    <comment ref="P31" authorId="1" shapeId="0">
      <text>
        <r>
          <rPr>
            <b/>
            <sz val="9"/>
            <color indexed="81"/>
            <rFont val="Tahoma"/>
            <family val="2"/>
          </rPr>
          <t>Author:
Interest expense will be calculated on the cash flow ("CF") sheet</t>
        </r>
        <r>
          <rPr>
            <sz val="9"/>
            <color indexed="81"/>
            <rFont val="Tahoma"/>
            <family val="2"/>
          </rPr>
          <t xml:space="preserve">
</t>
        </r>
      </text>
    </comment>
    <comment ref="Q31" authorId="1" shapeId="0">
      <text>
        <r>
          <rPr>
            <b/>
            <sz val="9"/>
            <color indexed="81"/>
            <rFont val="Tahoma"/>
            <family val="2"/>
          </rPr>
          <t>Author:
Interest expense will be calculated on the cash flow ("CF") sheet</t>
        </r>
        <r>
          <rPr>
            <sz val="9"/>
            <color indexed="81"/>
            <rFont val="Tahoma"/>
            <family val="2"/>
          </rPr>
          <t xml:space="preserve">
</t>
        </r>
      </text>
    </comment>
    <comment ref="H32" authorId="1" shapeId="0">
      <text>
        <r>
          <rPr>
            <b/>
            <sz val="9"/>
            <color indexed="81"/>
            <rFont val="Tahoma"/>
            <family val="2"/>
          </rPr>
          <t>Author:
Interest income will be calculated on the cash flow ("CF") sheet</t>
        </r>
        <r>
          <rPr>
            <sz val="9"/>
            <color indexed="81"/>
            <rFont val="Tahoma"/>
            <family val="2"/>
          </rPr>
          <t xml:space="preserve">
</t>
        </r>
      </text>
    </comment>
    <comment ref="I32" authorId="1" shapeId="0">
      <text>
        <r>
          <rPr>
            <b/>
            <sz val="9"/>
            <color indexed="81"/>
            <rFont val="Tahoma"/>
            <family val="2"/>
          </rPr>
          <t>Author:
Interest income will be calculated on the cash flow ("CF") sheet</t>
        </r>
        <r>
          <rPr>
            <sz val="9"/>
            <color indexed="81"/>
            <rFont val="Tahoma"/>
            <family val="2"/>
          </rPr>
          <t xml:space="preserve">
</t>
        </r>
      </text>
    </comment>
    <comment ref="J32" authorId="1" shapeId="0">
      <text>
        <r>
          <rPr>
            <b/>
            <sz val="9"/>
            <color indexed="81"/>
            <rFont val="Tahoma"/>
            <family val="2"/>
          </rPr>
          <t>Author:
Interest income will be calculated on the cash flow ("CF") sheet</t>
        </r>
        <r>
          <rPr>
            <sz val="9"/>
            <color indexed="81"/>
            <rFont val="Tahoma"/>
            <family val="2"/>
          </rPr>
          <t xml:space="preserve">
</t>
        </r>
      </text>
    </comment>
    <comment ref="K32" authorId="1" shapeId="0">
      <text>
        <r>
          <rPr>
            <b/>
            <sz val="9"/>
            <color indexed="81"/>
            <rFont val="Tahoma"/>
            <family val="2"/>
          </rPr>
          <t>Author:
Interest income will be calculated on the cash flow ("CF") sheet</t>
        </r>
        <r>
          <rPr>
            <sz val="9"/>
            <color indexed="81"/>
            <rFont val="Tahoma"/>
            <family val="2"/>
          </rPr>
          <t xml:space="preserve">
</t>
        </r>
      </text>
    </comment>
    <comment ref="L32" authorId="1" shapeId="0">
      <text>
        <r>
          <rPr>
            <b/>
            <sz val="9"/>
            <color indexed="81"/>
            <rFont val="Tahoma"/>
            <family val="2"/>
          </rPr>
          <t>Author:
Interest income will be calculated on the cash flow ("CF") sheet</t>
        </r>
        <r>
          <rPr>
            <sz val="9"/>
            <color indexed="81"/>
            <rFont val="Tahoma"/>
            <family val="2"/>
          </rPr>
          <t xml:space="preserve">
</t>
        </r>
      </text>
    </comment>
    <comment ref="M32" authorId="1" shapeId="0">
      <text>
        <r>
          <rPr>
            <b/>
            <sz val="9"/>
            <color indexed="81"/>
            <rFont val="Tahoma"/>
            <family val="2"/>
          </rPr>
          <t>Author:
Interest income will be calculated on the cash flow ("CF") sheet</t>
        </r>
        <r>
          <rPr>
            <sz val="9"/>
            <color indexed="81"/>
            <rFont val="Tahoma"/>
            <family val="2"/>
          </rPr>
          <t xml:space="preserve">
</t>
        </r>
      </text>
    </comment>
    <comment ref="N32" authorId="1" shapeId="0">
      <text>
        <r>
          <rPr>
            <b/>
            <sz val="9"/>
            <color indexed="81"/>
            <rFont val="Tahoma"/>
            <family val="2"/>
          </rPr>
          <t>Author:
Interest income will be calculated on the cash flow ("CF") sheet</t>
        </r>
        <r>
          <rPr>
            <sz val="9"/>
            <color indexed="81"/>
            <rFont val="Tahoma"/>
            <family val="2"/>
          </rPr>
          <t xml:space="preserve">
</t>
        </r>
      </text>
    </comment>
    <comment ref="O32" authorId="1" shapeId="0">
      <text>
        <r>
          <rPr>
            <b/>
            <sz val="9"/>
            <color indexed="81"/>
            <rFont val="Tahoma"/>
            <family val="2"/>
          </rPr>
          <t>Author:
Interest income will be calculated on the cash flow ("CF") sheet</t>
        </r>
        <r>
          <rPr>
            <sz val="9"/>
            <color indexed="81"/>
            <rFont val="Tahoma"/>
            <family val="2"/>
          </rPr>
          <t xml:space="preserve">
</t>
        </r>
      </text>
    </comment>
    <comment ref="P32" authorId="1" shapeId="0">
      <text>
        <r>
          <rPr>
            <b/>
            <sz val="9"/>
            <color indexed="81"/>
            <rFont val="Tahoma"/>
            <family val="2"/>
          </rPr>
          <t>Author:
Interest income will be calculated on the cash flow ("CF") sheet</t>
        </r>
        <r>
          <rPr>
            <sz val="9"/>
            <color indexed="81"/>
            <rFont val="Tahoma"/>
            <family val="2"/>
          </rPr>
          <t xml:space="preserve">
</t>
        </r>
      </text>
    </comment>
    <comment ref="Q32" authorId="1" shapeId="0">
      <text>
        <r>
          <rPr>
            <b/>
            <sz val="9"/>
            <color indexed="81"/>
            <rFont val="Tahoma"/>
            <family val="2"/>
          </rPr>
          <t>Author:
Interest income will be calculated on the cash flow ("CF") sheet</t>
        </r>
        <r>
          <rPr>
            <sz val="9"/>
            <color indexed="81"/>
            <rFont val="Tahoma"/>
            <family val="2"/>
          </rPr>
          <t xml:space="preserve">
</t>
        </r>
      </text>
    </comment>
    <comment ref="T33" authorId="0" shapeId="0">
      <text>
        <r>
          <rPr>
            <b/>
            <sz val="9"/>
            <color indexed="81"/>
            <rFont val="Tahoma"/>
            <family val="2"/>
          </rPr>
          <t>Author: change assumptions as necessary</t>
        </r>
        <r>
          <rPr>
            <sz val="9"/>
            <color indexed="81"/>
            <rFont val="Tahoma"/>
            <family val="2"/>
          </rPr>
          <t xml:space="preserve">
</t>
        </r>
      </text>
    </comment>
    <comment ref="U33" authorId="0" shapeId="0">
      <text>
        <r>
          <rPr>
            <b/>
            <sz val="9"/>
            <color indexed="81"/>
            <rFont val="Tahoma"/>
            <family val="2"/>
          </rPr>
          <t>Author: change assumptions as necessary</t>
        </r>
        <r>
          <rPr>
            <sz val="9"/>
            <color indexed="81"/>
            <rFont val="Tahoma"/>
            <family val="2"/>
          </rPr>
          <t xml:space="preserve">
</t>
        </r>
      </text>
    </comment>
    <comment ref="V33" authorId="0" shapeId="0">
      <text>
        <r>
          <rPr>
            <b/>
            <sz val="9"/>
            <color indexed="81"/>
            <rFont val="Tahoma"/>
            <family val="2"/>
          </rPr>
          <t>Author: change assumptions as necessary</t>
        </r>
        <r>
          <rPr>
            <sz val="9"/>
            <color indexed="81"/>
            <rFont val="Tahoma"/>
            <family val="2"/>
          </rPr>
          <t xml:space="preserve">
</t>
        </r>
      </text>
    </comment>
    <comment ref="W33" authorId="0" shapeId="0">
      <text>
        <r>
          <rPr>
            <b/>
            <sz val="9"/>
            <color indexed="81"/>
            <rFont val="Tahoma"/>
            <family val="2"/>
          </rPr>
          <t>Author: change assumptions as necessary</t>
        </r>
        <r>
          <rPr>
            <sz val="9"/>
            <color indexed="81"/>
            <rFont val="Tahoma"/>
            <family val="2"/>
          </rPr>
          <t xml:space="preserve">
</t>
        </r>
      </text>
    </comment>
    <comment ref="X33" authorId="0" shapeId="0">
      <text>
        <r>
          <rPr>
            <b/>
            <sz val="9"/>
            <color indexed="81"/>
            <rFont val="Tahoma"/>
            <family val="2"/>
          </rPr>
          <t>Author: change assumptions as necessary</t>
        </r>
        <r>
          <rPr>
            <sz val="9"/>
            <color indexed="81"/>
            <rFont val="Tahoma"/>
            <family val="2"/>
          </rPr>
          <t xml:space="preserve">
</t>
        </r>
      </text>
    </comment>
    <comment ref="Y33" authorId="0" shapeId="0">
      <text>
        <r>
          <rPr>
            <b/>
            <sz val="9"/>
            <color indexed="81"/>
            <rFont val="Tahoma"/>
            <family val="2"/>
          </rPr>
          <t>Author: change assumptions as necessary</t>
        </r>
        <r>
          <rPr>
            <sz val="9"/>
            <color indexed="81"/>
            <rFont val="Tahoma"/>
            <family val="2"/>
          </rPr>
          <t xml:space="preserve">
</t>
        </r>
      </text>
    </comment>
    <comment ref="Z33" authorId="0" shapeId="0">
      <text>
        <r>
          <rPr>
            <b/>
            <sz val="9"/>
            <color indexed="81"/>
            <rFont val="Tahoma"/>
            <family val="2"/>
          </rPr>
          <t>Author: change assumptions as necessary</t>
        </r>
        <r>
          <rPr>
            <sz val="9"/>
            <color indexed="81"/>
            <rFont val="Tahoma"/>
            <family val="2"/>
          </rPr>
          <t xml:space="preserve">
</t>
        </r>
      </text>
    </comment>
    <comment ref="AA33" authorId="0" shapeId="0">
      <text>
        <r>
          <rPr>
            <b/>
            <sz val="9"/>
            <color indexed="81"/>
            <rFont val="Tahoma"/>
            <family val="2"/>
          </rPr>
          <t>Author: change assumptions as necessary</t>
        </r>
        <r>
          <rPr>
            <sz val="9"/>
            <color indexed="81"/>
            <rFont val="Tahoma"/>
            <family val="2"/>
          </rPr>
          <t xml:space="preserve">
</t>
        </r>
      </text>
    </comment>
    <comment ref="AB33" authorId="0" shapeId="0">
      <text>
        <r>
          <rPr>
            <b/>
            <sz val="9"/>
            <color indexed="81"/>
            <rFont val="Tahoma"/>
            <family val="2"/>
          </rPr>
          <t>Author: change assumptions as necessary</t>
        </r>
        <r>
          <rPr>
            <sz val="9"/>
            <color indexed="81"/>
            <rFont val="Tahoma"/>
            <family val="2"/>
          </rPr>
          <t xml:space="preserve">
</t>
        </r>
      </text>
    </comment>
    <comment ref="AC33" authorId="0" shapeId="0">
      <text>
        <r>
          <rPr>
            <b/>
            <sz val="9"/>
            <color indexed="81"/>
            <rFont val="Tahoma"/>
            <family val="2"/>
          </rPr>
          <t>Author: change assumptions as necessary</t>
        </r>
        <r>
          <rPr>
            <sz val="9"/>
            <color indexed="81"/>
            <rFont val="Tahoma"/>
            <family val="2"/>
          </rPr>
          <t xml:space="preserve">
</t>
        </r>
      </text>
    </comment>
    <comment ref="T38" authorId="0" shapeId="0">
      <text>
        <r>
          <rPr>
            <b/>
            <sz val="9"/>
            <color indexed="81"/>
            <rFont val="Tahoma"/>
            <family val="2"/>
          </rPr>
          <t>Author: change assumptions as necessary</t>
        </r>
        <r>
          <rPr>
            <sz val="9"/>
            <color indexed="81"/>
            <rFont val="Tahoma"/>
            <family val="2"/>
          </rPr>
          <t xml:space="preserve">
</t>
        </r>
      </text>
    </comment>
    <comment ref="U38" authorId="0" shapeId="0">
      <text>
        <r>
          <rPr>
            <b/>
            <sz val="9"/>
            <color indexed="81"/>
            <rFont val="Tahoma"/>
            <family val="2"/>
          </rPr>
          <t>Author: change assumptions as necessary</t>
        </r>
        <r>
          <rPr>
            <sz val="9"/>
            <color indexed="81"/>
            <rFont val="Tahoma"/>
            <family val="2"/>
          </rPr>
          <t xml:space="preserve">
</t>
        </r>
      </text>
    </comment>
    <comment ref="V38" authorId="0" shapeId="0">
      <text>
        <r>
          <rPr>
            <b/>
            <sz val="9"/>
            <color indexed="81"/>
            <rFont val="Tahoma"/>
            <family val="2"/>
          </rPr>
          <t>Author: change assumptions as necessary</t>
        </r>
        <r>
          <rPr>
            <sz val="9"/>
            <color indexed="81"/>
            <rFont val="Tahoma"/>
            <family val="2"/>
          </rPr>
          <t xml:space="preserve">
</t>
        </r>
      </text>
    </comment>
    <comment ref="W38" authorId="0" shapeId="0">
      <text>
        <r>
          <rPr>
            <b/>
            <sz val="9"/>
            <color indexed="81"/>
            <rFont val="Tahoma"/>
            <family val="2"/>
          </rPr>
          <t>Author: change assumptions as necessary</t>
        </r>
        <r>
          <rPr>
            <sz val="9"/>
            <color indexed="81"/>
            <rFont val="Tahoma"/>
            <family val="2"/>
          </rPr>
          <t xml:space="preserve">
</t>
        </r>
      </text>
    </comment>
    <comment ref="X38" authorId="0" shapeId="0">
      <text>
        <r>
          <rPr>
            <b/>
            <sz val="9"/>
            <color indexed="81"/>
            <rFont val="Tahoma"/>
            <family val="2"/>
          </rPr>
          <t>Author: change assumptions as necessary</t>
        </r>
        <r>
          <rPr>
            <sz val="9"/>
            <color indexed="81"/>
            <rFont val="Tahoma"/>
            <family val="2"/>
          </rPr>
          <t xml:space="preserve">
</t>
        </r>
      </text>
    </comment>
    <comment ref="Y38" authorId="0" shapeId="0">
      <text>
        <r>
          <rPr>
            <b/>
            <sz val="9"/>
            <color indexed="81"/>
            <rFont val="Tahoma"/>
            <family val="2"/>
          </rPr>
          <t>Author: change assumptions as necessary</t>
        </r>
        <r>
          <rPr>
            <sz val="9"/>
            <color indexed="81"/>
            <rFont val="Tahoma"/>
            <family val="2"/>
          </rPr>
          <t xml:space="preserve">
</t>
        </r>
      </text>
    </comment>
    <comment ref="Z38" authorId="0" shapeId="0">
      <text>
        <r>
          <rPr>
            <b/>
            <sz val="9"/>
            <color indexed="81"/>
            <rFont val="Tahoma"/>
            <family val="2"/>
          </rPr>
          <t>Author: change assumptions as necessary</t>
        </r>
        <r>
          <rPr>
            <sz val="9"/>
            <color indexed="81"/>
            <rFont val="Tahoma"/>
            <family val="2"/>
          </rPr>
          <t xml:space="preserve">
</t>
        </r>
      </text>
    </comment>
    <comment ref="AA38" authorId="0" shapeId="0">
      <text>
        <r>
          <rPr>
            <b/>
            <sz val="9"/>
            <color indexed="81"/>
            <rFont val="Tahoma"/>
            <family val="2"/>
          </rPr>
          <t>Author: change assumptions as necessary</t>
        </r>
        <r>
          <rPr>
            <sz val="9"/>
            <color indexed="81"/>
            <rFont val="Tahoma"/>
            <family val="2"/>
          </rPr>
          <t xml:space="preserve">
</t>
        </r>
      </text>
    </comment>
    <comment ref="AB38" authorId="0" shapeId="0">
      <text>
        <r>
          <rPr>
            <b/>
            <sz val="9"/>
            <color indexed="81"/>
            <rFont val="Tahoma"/>
            <family val="2"/>
          </rPr>
          <t>Author: change assumptions as necessary</t>
        </r>
        <r>
          <rPr>
            <sz val="9"/>
            <color indexed="81"/>
            <rFont val="Tahoma"/>
            <family val="2"/>
          </rPr>
          <t xml:space="preserve">
</t>
        </r>
      </text>
    </comment>
    <comment ref="AC38" authorId="0" shapeId="0">
      <text>
        <r>
          <rPr>
            <b/>
            <sz val="9"/>
            <color indexed="81"/>
            <rFont val="Tahoma"/>
            <family val="2"/>
          </rPr>
          <t>Author: change assumptions as necessary</t>
        </r>
        <r>
          <rPr>
            <sz val="9"/>
            <color indexed="81"/>
            <rFont val="Tahoma"/>
            <family val="2"/>
          </rPr>
          <t xml:space="preserve">
</t>
        </r>
      </text>
    </comment>
    <comment ref="T45" authorId="0" shapeId="0">
      <text>
        <r>
          <rPr>
            <b/>
            <sz val="9"/>
            <color indexed="81"/>
            <rFont val="Tahoma"/>
            <family val="2"/>
          </rPr>
          <t>Author: change assumptions as necessary</t>
        </r>
        <r>
          <rPr>
            <sz val="9"/>
            <color indexed="81"/>
            <rFont val="Tahoma"/>
            <family val="2"/>
          </rPr>
          <t xml:space="preserve">
</t>
        </r>
      </text>
    </comment>
    <comment ref="U45" authorId="0" shapeId="0">
      <text>
        <r>
          <rPr>
            <b/>
            <sz val="9"/>
            <color indexed="81"/>
            <rFont val="Tahoma"/>
            <family val="2"/>
          </rPr>
          <t>Author: change assumptions as necessary</t>
        </r>
        <r>
          <rPr>
            <sz val="9"/>
            <color indexed="81"/>
            <rFont val="Tahoma"/>
            <family val="2"/>
          </rPr>
          <t xml:space="preserve">
</t>
        </r>
      </text>
    </comment>
    <comment ref="V45" authorId="0" shapeId="0">
      <text>
        <r>
          <rPr>
            <b/>
            <sz val="9"/>
            <color indexed="81"/>
            <rFont val="Tahoma"/>
            <family val="2"/>
          </rPr>
          <t>Author: change assumptions as necessary</t>
        </r>
        <r>
          <rPr>
            <sz val="9"/>
            <color indexed="81"/>
            <rFont val="Tahoma"/>
            <family val="2"/>
          </rPr>
          <t xml:space="preserve">
</t>
        </r>
      </text>
    </comment>
    <comment ref="W45" authorId="0" shapeId="0">
      <text>
        <r>
          <rPr>
            <b/>
            <sz val="9"/>
            <color indexed="81"/>
            <rFont val="Tahoma"/>
            <family val="2"/>
          </rPr>
          <t>Author: change assumptions as necessary</t>
        </r>
        <r>
          <rPr>
            <sz val="9"/>
            <color indexed="81"/>
            <rFont val="Tahoma"/>
            <family val="2"/>
          </rPr>
          <t xml:space="preserve">
</t>
        </r>
      </text>
    </comment>
    <comment ref="X45" authorId="0" shapeId="0">
      <text>
        <r>
          <rPr>
            <b/>
            <sz val="9"/>
            <color indexed="81"/>
            <rFont val="Tahoma"/>
            <family val="2"/>
          </rPr>
          <t>Author: change assumptions as necessary</t>
        </r>
        <r>
          <rPr>
            <sz val="9"/>
            <color indexed="81"/>
            <rFont val="Tahoma"/>
            <family val="2"/>
          </rPr>
          <t xml:space="preserve">
</t>
        </r>
      </text>
    </comment>
    <comment ref="Y45" authorId="0" shapeId="0">
      <text>
        <r>
          <rPr>
            <b/>
            <sz val="9"/>
            <color indexed="81"/>
            <rFont val="Tahoma"/>
            <family val="2"/>
          </rPr>
          <t>Author: change assumptions as necessary</t>
        </r>
        <r>
          <rPr>
            <sz val="9"/>
            <color indexed="81"/>
            <rFont val="Tahoma"/>
            <family val="2"/>
          </rPr>
          <t xml:space="preserve">
</t>
        </r>
      </text>
    </comment>
    <comment ref="Z45" authorId="0" shapeId="0">
      <text>
        <r>
          <rPr>
            <b/>
            <sz val="9"/>
            <color indexed="81"/>
            <rFont val="Tahoma"/>
            <family val="2"/>
          </rPr>
          <t>Author: change assumptions as necessary</t>
        </r>
        <r>
          <rPr>
            <sz val="9"/>
            <color indexed="81"/>
            <rFont val="Tahoma"/>
            <family val="2"/>
          </rPr>
          <t xml:space="preserve">
</t>
        </r>
      </text>
    </comment>
    <comment ref="AA45" authorId="0" shapeId="0">
      <text>
        <r>
          <rPr>
            <b/>
            <sz val="9"/>
            <color indexed="81"/>
            <rFont val="Tahoma"/>
            <family val="2"/>
          </rPr>
          <t>Author: change assumptions as necessary</t>
        </r>
        <r>
          <rPr>
            <sz val="9"/>
            <color indexed="81"/>
            <rFont val="Tahoma"/>
            <family val="2"/>
          </rPr>
          <t xml:space="preserve">
</t>
        </r>
      </text>
    </comment>
    <comment ref="AB45" authorId="0" shapeId="0">
      <text>
        <r>
          <rPr>
            <b/>
            <sz val="9"/>
            <color indexed="81"/>
            <rFont val="Tahoma"/>
            <family val="2"/>
          </rPr>
          <t>Author: change assumptions as necessary</t>
        </r>
        <r>
          <rPr>
            <sz val="9"/>
            <color indexed="81"/>
            <rFont val="Tahoma"/>
            <family val="2"/>
          </rPr>
          <t xml:space="preserve">
</t>
        </r>
      </text>
    </comment>
    <comment ref="AC45" authorId="0" shapeId="0">
      <text>
        <r>
          <rPr>
            <b/>
            <sz val="9"/>
            <color indexed="81"/>
            <rFont val="Tahoma"/>
            <family val="2"/>
          </rPr>
          <t>Author: change assumptions as necessary</t>
        </r>
        <r>
          <rPr>
            <sz val="9"/>
            <color indexed="81"/>
            <rFont val="Tahoma"/>
            <family val="2"/>
          </rPr>
          <t xml:space="preserve">
</t>
        </r>
      </text>
    </comment>
  </commentList>
</comments>
</file>

<file path=xl/comments2.xml><?xml version="1.0" encoding="utf-8"?>
<comments xmlns="http://schemas.openxmlformats.org/spreadsheetml/2006/main">
  <authors>
    <author>JPMorgan Chase &amp; Co.</author>
  </authors>
  <commentList>
    <comment ref="D35"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E35"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D36"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E36"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D37"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E37"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D38"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E38"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D39"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E39"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D40"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E40"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D41"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E41"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D42"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E42"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D43"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 ref="E43" authorId="0" shapeId="0">
      <text>
        <r>
          <rPr>
            <b/>
            <sz val="9"/>
            <color indexed="81"/>
            <rFont val="Tahoma"/>
            <family val="2"/>
          </rPr>
          <t>Author:
Feel free to break-out debt across different tranches and relabel the line items in column C</t>
        </r>
        <r>
          <rPr>
            <sz val="9"/>
            <color indexed="81"/>
            <rFont val="Tahoma"/>
            <family val="2"/>
          </rPr>
          <t xml:space="preserve">
</t>
        </r>
      </text>
    </comment>
  </commentList>
</comments>
</file>

<file path=xl/comments3.xml><?xml version="1.0" encoding="utf-8"?>
<comments xmlns="http://schemas.openxmlformats.org/spreadsheetml/2006/main">
  <authors>
    <author>Rishab</author>
  </authors>
  <commentList>
    <comment ref="R11" authorId="0" shapeId="0">
      <text>
        <r>
          <rPr>
            <b/>
            <sz val="9"/>
            <color indexed="81"/>
            <rFont val="Tahoma"/>
            <family val="2"/>
          </rPr>
          <t>Author:
Change assumptions as necessary</t>
        </r>
        <r>
          <rPr>
            <sz val="9"/>
            <color indexed="81"/>
            <rFont val="Tahoma"/>
            <family val="2"/>
          </rPr>
          <t xml:space="preserve">
</t>
        </r>
      </text>
    </comment>
    <comment ref="S11" authorId="0" shapeId="0">
      <text>
        <r>
          <rPr>
            <b/>
            <sz val="9"/>
            <color indexed="81"/>
            <rFont val="Tahoma"/>
            <family val="2"/>
          </rPr>
          <t>Author:
Change assumptions as necessary</t>
        </r>
        <r>
          <rPr>
            <sz val="9"/>
            <color indexed="81"/>
            <rFont val="Tahoma"/>
            <family val="2"/>
          </rPr>
          <t xml:space="preserve">
</t>
        </r>
      </text>
    </comment>
    <comment ref="T11" authorId="0" shapeId="0">
      <text>
        <r>
          <rPr>
            <b/>
            <sz val="9"/>
            <color indexed="81"/>
            <rFont val="Tahoma"/>
            <family val="2"/>
          </rPr>
          <t>Author:
Change assumptions as necessary</t>
        </r>
        <r>
          <rPr>
            <sz val="9"/>
            <color indexed="81"/>
            <rFont val="Tahoma"/>
            <family val="2"/>
          </rPr>
          <t xml:space="preserve">
</t>
        </r>
      </text>
    </comment>
    <comment ref="U11" authorId="0" shapeId="0">
      <text>
        <r>
          <rPr>
            <b/>
            <sz val="9"/>
            <color indexed="81"/>
            <rFont val="Tahoma"/>
            <family val="2"/>
          </rPr>
          <t>Author:
Change assumptions as necessary</t>
        </r>
        <r>
          <rPr>
            <sz val="9"/>
            <color indexed="81"/>
            <rFont val="Tahoma"/>
            <family val="2"/>
          </rPr>
          <t xml:space="preserve">
</t>
        </r>
      </text>
    </comment>
    <comment ref="V11" authorId="0" shapeId="0">
      <text>
        <r>
          <rPr>
            <b/>
            <sz val="9"/>
            <color indexed="81"/>
            <rFont val="Tahoma"/>
            <family val="2"/>
          </rPr>
          <t>Author:
Change assumptions as necessary</t>
        </r>
        <r>
          <rPr>
            <sz val="9"/>
            <color indexed="81"/>
            <rFont val="Tahoma"/>
            <family val="2"/>
          </rPr>
          <t xml:space="preserve">
</t>
        </r>
      </text>
    </comment>
    <comment ref="W11" authorId="0" shapeId="0">
      <text>
        <r>
          <rPr>
            <b/>
            <sz val="9"/>
            <color indexed="81"/>
            <rFont val="Tahoma"/>
            <family val="2"/>
          </rPr>
          <t>Author:
Change assumptions as necessary</t>
        </r>
        <r>
          <rPr>
            <sz val="9"/>
            <color indexed="81"/>
            <rFont val="Tahoma"/>
            <family val="2"/>
          </rPr>
          <t xml:space="preserve">
</t>
        </r>
      </text>
    </comment>
    <comment ref="X11" authorId="0" shapeId="0">
      <text>
        <r>
          <rPr>
            <b/>
            <sz val="9"/>
            <color indexed="81"/>
            <rFont val="Tahoma"/>
            <family val="2"/>
          </rPr>
          <t>Author:
Change assumptions as necessary</t>
        </r>
        <r>
          <rPr>
            <sz val="9"/>
            <color indexed="81"/>
            <rFont val="Tahoma"/>
            <family val="2"/>
          </rPr>
          <t xml:space="preserve">
</t>
        </r>
      </text>
    </comment>
    <comment ref="Y11" authorId="0" shapeId="0">
      <text>
        <r>
          <rPr>
            <b/>
            <sz val="9"/>
            <color indexed="81"/>
            <rFont val="Tahoma"/>
            <family val="2"/>
          </rPr>
          <t>Author:
Change assumptions as necessary</t>
        </r>
        <r>
          <rPr>
            <sz val="9"/>
            <color indexed="81"/>
            <rFont val="Tahoma"/>
            <family val="2"/>
          </rPr>
          <t xml:space="preserve">
</t>
        </r>
      </text>
    </comment>
    <comment ref="Z11" authorId="0" shapeId="0">
      <text>
        <r>
          <rPr>
            <b/>
            <sz val="9"/>
            <color indexed="81"/>
            <rFont val="Tahoma"/>
            <family val="2"/>
          </rPr>
          <t>Author:
Change assumptions as necessary</t>
        </r>
        <r>
          <rPr>
            <sz val="9"/>
            <color indexed="81"/>
            <rFont val="Tahoma"/>
            <family val="2"/>
          </rPr>
          <t xml:space="preserve">
</t>
        </r>
      </text>
    </comment>
    <comment ref="AA11" authorId="0" shapeId="0">
      <text>
        <r>
          <rPr>
            <b/>
            <sz val="9"/>
            <color indexed="81"/>
            <rFont val="Tahoma"/>
            <family val="2"/>
          </rPr>
          <t>Author:
Change assumptions as necessary</t>
        </r>
        <r>
          <rPr>
            <sz val="9"/>
            <color indexed="81"/>
            <rFont val="Tahoma"/>
            <family val="2"/>
          </rPr>
          <t xml:space="preserve">
</t>
        </r>
      </text>
    </comment>
    <comment ref="R12" authorId="0" shapeId="0">
      <text>
        <r>
          <rPr>
            <b/>
            <sz val="9"/>
            <color indexed="81"/>
            <rFont val="Tahoma"/>
            <family val="2"/>
          </rPr>
          <t>Author:
Change assumptions as necessary</t>
        </r>
        <r>
          <rPr>
            <sz val="9"/>
            <color indexed="81"/>
            <rFont val="Tahoma"/>
            <family val="2"/>
          </rPr>
          <t xml:space="preserve">
</t>
        </r>
      </text>
    </comment>
    <comment ref="S12" authorId="0" shapeId="0">
      <text>
        <r>
          <rPr>
            <b/>
            <sz val="9"/>
            <color indexed="81"/>
            <rFont val="Tahoma"/>
            <family val="2"/>
          </rPr>
          <t>Author:
Change assumptions as necessary</t>
        </r>
        <r>
          <rPr>
            <sz val="9"/>
            <color indexed="81"/>
            <rFont val="Tahoma"/>
            <family val="2"/>
          </rPr>
          <t xml:space="preserve">
</t>
        </r>
      </text>
    </comment>
    <comment ref="T12" authorId="0" shapeId="0">
      <text>
        <r>
          <rPr>
            <b/>
            <sz val="9"/>
            <color indexed="81"/>
            <rFont val="Tahoma"/>
            <family val="2"/>
          </rPr>
          <t>Author:
Change assumptions as necessary</t>
        </r>
        <r>
          <rPr>
            <sz val="9"/>
            <color indexed="81"/>
            <rFont val="Tahoma"/>
            <family val="2"/>
          </rPr>
          <t xml:space="preserve">
</t>
        </r>
      </text>
    </comment>
    <comment ref="U12" authorId="0" shapeId="0">
      <text>
        <r>
          <rPr>
            <b/>
            <sz val="9"/>
            <color indexed="81"/>
            <rFont val="Tahoma"/>
            <family val="2"/>
          </rPr>
          <t>Author:
Change assumptions as necessary</t>
        </r>
        <r>
          <rPr>
            <sz val="9"/>
            <color indexed="81"/>
            <rFont val="Tahoma"/>
            <family val="2"/>
          </rPr>
          <t xml:space="preserve">
</t>
        </r>
      </text>
    </comment>
    <comment ref="V12" authorId="0" shapeId="0">
      <text>
        <r>
          <rPr>
            <b/>
            <sz val="9"/>
            <color indexed="81"/>
            <rFont val="Tahoma"/>
            <family val="2"/>
          </rPr>
          <t>Author:
Change assumptions as necessary</t>
        </r>
        <r>
          <rPr>
            <sz val="9"/>
            <color indexed="81"/>
            <rFont val="Tahoma"/>
            <family val="2"/>
          </rPr>
          <t xml:space="preserve">
</t>
        </r>
      </text>
    </comment>
    <comment ref="W12" authorId="0" shapeId="0">
      <text>
        <r>
          <rPr>
            <b/>
            <sz val="9"/>
            <color indexed="81"/>
            <rFont val="Tahoma"/>
            <family val="2"/>
          </rPr>
          <t>Author:
Change assumptions as necessary</t>
        </r>
        <r>
          <rPr>
            <sz val="9"/>
            <color indexed="81"/>
            <rFont val="Tahoma"/>
            <family val="2"/>
          </rPr>
          <t xml:space="preserve">
</t>
        </r>
      </text>
    </comment>
    <comment ref="X12" authorId="0" shapeId="0">
      <text>
        <r>
          <rPr>
            <b/>
            <sz val="9"/>
            <color indexed="81"/>
            <rFont val="Tahoma"/>
            <family val="2"/>
          </rPr>
          <t>Author:
Change assumptions as necessary</t>
        </r>
        <r>
          <rPr>
            <sz val="9"/>
            <color indexed="81"/>
            <rFont val="Tahoma"/>
            <family val="2"/>
          </rPr>
          <t xml:space="preserve">
</t>
        </r>
      </text>
    </comment>
    <comment ref="Y12" authorId="0" shapeId="0">
      <text>
        <r>
          <rPr>
            <b/>
            <sz val="9"/>
            <color indexed="81"/>
            <rFont val="Tahoma"/>
            <family val="2"/>
          </rPr>
          <t>Author:
Change assumptions as necessary</t>
        </r>
        <r>
          <rPr>
            <sz val="9"/>
            <color indexed="81"/>
            <rFont val="Tahoma"/>
            <family val="2"/>
          </rPr>
          <t xml:space="preserve">
</t>
        </r>
      </text>
    </comment>
    <comment ref="Z12" authorId="0" shapeId="0">
      <text>
        <r>
          <rPr>
            <b/>
            <sz val="9"/>
            <color indexed="81"/>
            <rFont val="Tahoma"/>
            <family val="2"/>
          </rPr>
          <t>Author:
Change assumptions as necessary</t>
        </r>
        <r>
          <rPr>
            <sz val="9"/>
            <color indexed="81"/>
            <rFont val="Tahoma"/>
            <family val="2"/>
          </rPr>
          <t xml:space="preserve">
</t>
        </r>
      </text>
    </comment>
    <comment ref="AA12" authorId="0" shapeId="0">
      <text>
        <r>
          <rPr>
            <b/>
            <sz val="9"/>
            <color indexed="81"/>
            <rFont val="Tahoma"/>
            <family val="2"/>
          </rPr>
          <t>Author:
Change assumptions as necessary</t>
        </r>
        <r>
          <rPr>
            <sz val="9"/>
            <color indexed="81"/>
            <rFont val="Tahoma"/>
            <family val="2"/>
          </rPr>
          <t xml:space="preserve">
</t>
        </r>
      </text>
    </comment>
    <comment ref="R13" authorId="0" shapeId="0">
      <text>
        <r>
          <rPr>
            <b/>
            <sz val="9"/>
            <color indexed="81"/>
            <rFont val="Tahoma"/>
            <family val="2"/>
          </rPr>
          <t>Author:
Change assumptions as necessary</t>
        </r>
        <r>
          <rPr>
            <sz val="9"/>
            <color indexed="81"/>
            <rFont val="Tahoma"/>
            <family val="2"/>
          </rPr>
          <t xml:space="preserve">
</t>
        </r>
      </text>
    </comment>
    <comment ref="S13" authorId="0" shapeId="0">
      <text>
        <r>
          <rPr>
            <b/>
            <sz val="9"/>
            <color indexed="81"/>
            <rFont val="Tahoma"/>
            <family val="2"/>
          </rPr>
          <t>Author:
Change assumptions as necessary</t>
        </r>
        <r>
          <rPr>
            <sz val="9"/>
            <color indexed="81"/>
            <rFont val="Tahoma"/>
            <family val="2"/>
          </rPr>
          <t xml:space="preserve">
</t>
        </r>
      </text>
    </comment>
    <comment ref="T13" authorId="0" shapeId="0">
      <text>
        <r>
          <rPr>
            <b/>
            <sz val="9"/>
            <color indexed="81"/>
            <rFont val="Tahoma"/>
            <family val="2"/>
          </rPr>
          <t>Author:
Change assumptions as necessary</t>
        </r>
        <r>
          <rPr>
            <sz val="9"/>
            <color indexed="81"/>
            <rFont val="Tahoma"/>
            <family val="2"/>
          </rPr>
          <t xml:space="preserve">
</t>
        </r>
      </text>
    </comment>
    <comment ref="U13" authorId="0" shapeId="0">
      <text>
        <r>
          <rPr>
            <b/>
            <sz val="9"/>
            <color indexed="81"/>
            <rFont val="Tahoma"/>
            <family val="2"/>
          </rPr>
          <t>Author:
Change assumptions as necessary</t>
        </r>
        <r>
          <rPr>
            <sz val="9"/>
            <color indexed="81"/>
            <rFont val="Tahoma"/>
            <family val="2"/>
          </rPr>
          <t xml:space="preserve">
</t>
        </r>
      </text>
    </comment>
    <comment ref="V13" authorId="0" shapeId="0">
      <text>
        <r>
          <rPr>
            <b/>
            <sz val="9"/>
            <color indexed="81"/>
            <rFont val="Tahoma"/>
            <family val="2"/>
          </rPr>
          <t>Author:
Change assumptions as necessary</t>
        </r>
        <r>
          <rPr>
            <sz val="9"/>
            <color indexed="81"/>
            <rFont val="Tahoma"/>
            <family val="2"/>
          </rPr>
          <t xml:space="preserve">
</t>
        </r>
      </text>
    </comment>
    <comment ref="W13" authorId="0" shapeId="0">
      <text>
        <r>
          <rPr>
            <b/>
            <sz val="9"/>
            <color indexed="81"/>
            <rFont val="Tahoma"/>
            <family val="2"/>
          </rPr>
          <t>Author:
Change assumptions as necessary</t>
        </r>
        <r>
          <rPr>
            <sz val="9"/>
            <color indexed="81"/>
            <rFont val="Tahoma"/>
            <family val="2"/>
          </rPr>
          <t xml:space="preserve">
</t>
        </r>
      </text>
    </comment>
    <comment ref="X13" authorId="0" shapeId="0">
      <text>
        <r>
          <rPr>
            <b/>
            <sz val="9"/>
            <color indexed="81"/>
            <rFont val="Tahoma"/>
            <family val="2"/>
          </rPr>
          <t>Author:
Change assumptions as necessary</t>
        </r>
        <r>
          <rPr>
            <sz val="9"/>
            <color indexed="81"/>
            <rFont val="Tahoma"/>
            <family val="2"/>
          </rPr>
          <t xml:space="preserve">
</t>
        </r>
      </text>
    </comment>
    <comment ref="Y13" authorId="0" shapeId="0">
      <text>
        <r>
          <rPr>
            <b/>
            <sz val="9"/>
            <color indexed="81"/>
            <rFont val="Tahoma"/>
            <family val="2"/>
          </rPr>
          <t>Author:
Change assumptions as necessary</t>
        </r>
        <r>
          <rPr>
            <sz val="9"/>
            <color indexed="81"/>
            <rFont val="Tahoma"/>
            <family val="2"/>
          </rPr>
          <t xml:space="preserve">
</t>
        </r>
      </text>
    </comment>
    <comment ref="Z13" authorId="0" shapeId="0">
      <text>
        <r>
          <rPr>
            <b/>
            <sz val="9"/>
            <color indexed="81"/>
            <rFont val="Tahoma"/>
            <family val="2"/>
          </rPr>
          <t>Author:
Change assumptions as necessary</t>
        </r>
        <r>
          <rPr>
            <sz val="9"/>
            <color indexed="81"/>
            <rFont val="Tahoma"/>
            <family val="2"/>
          </rPr>
          <t xml:space="preserve">
</t>
        </r>
      </text>
    </comment>
    <comment ref="AA13" authorId="0" shapeId="0">
      <text>
        <r>
          <rPr>
            <b/>
            <sz val="9"/>
            <color indexed="81"/>
            <rFont val="Tahoma"/>
            <family val="2"/>
          </rPr>
          <t>Author:
Change assumptions as necessary</t>
        </r>
        <r>
          <rPr>
            <sz val="9"/>
            <color indexed="81"/>
            <rFont val="Tahoma"/>
            <family val="2"/>
          </rPr>
          <t xml:space="preserve">
</t>
        </r>
      </text>
    </comment>
    <comment ref="R14" authorId="0" shapeId="0">
      <text>
        <r>
          <rPr>
            <b/>
            <sz val="9"/>
            <color indexed="81"/>
            <rFont val="Tahoma"/>
            <family val="2"/>
          </rPr>
          <t>Author:
Change assumptions as necessary</t>
        </r>
        <r>
          <rPr>
            <sz val="9"/>
            <color indexed="81"/>
            <rFont val="Tahoma"/>
            <family val="2"/>
          </rPr>
          <t xml:space="preserve">
</t>
        </r>
      </text>
    </comment>
    <comment ref="S14" authorId="0" shapeId="0">
      <text>
        <r>
          <rPr>
            <b/>
            <sz val="9"/>
            <color indexed="81"/>
            <rFont val="Tahoma"/>
            <family val="2"/>
          </rPr>
          <t>Author:
Change assumptions as necessary</t>
        </r>
        <r>
          <rPr>
            <sz val="9"/>
            <color indexed="81"/>
            <rFont val="Tahoma"/>
            <family val="2"/>
          </rPr>
          <t xml:space="preserve">
</t>
        </r>
      </text>
    </comment>
    <comment ref="T14" authorId="0" shapeId="0">
      <text>
        <r>
          <rPr>
            <b/>
            <sz val="9"/>
            <color indexed="81"/>
            <rFont val="Tahoma"/>
            <family val="2"/>
          </rPr>
          <t>Author:
Change assumptions as necessary</t>
        </r>
        <r>
          <rPr>
            <sz val="9"/>
            <color indexed="81"/>
            <rFont val="Tahoma"/>
            <family val="2"/>
          </rPr>
          <t xml:space="preserve">
</t>
        </r>
      </text>
    </comment>
    <comment ref="U14" authorId="0" shapeId="0">
      <text>
        <r>
          <rPr>
            <b/>
            <sz val="9"/>
            <color indexed="81"/>
            <rFont val="Tahoma"/>
            <family val="2"/>
          </rPr>
          <t>Author:
Change assumptions as necessary</t>
        </r>
        <r>
          <rPr>
            <sz val="9"/>
            <color indexed="81"/>
            <rFont val="Tahoma"/>
            <family val="2"/>
          </rPr>
          <t xml:space="preserve">
</t>
        </r>
      </text>
    </comment>
    <comment ref="V14" authorId="0" shapeId="0">
      <text>
        <r>
          <rPr>
            <b/>
            <sz val="9"/>
            <color indexed="81"/>
            <rFont val="Tahoma"/>
            <family val="2"/>
          </rPr>
          <t>Author:
Change assumptions as necessary</t>
        </r>
        <r>
          <rPr>
            <sz val="9"/>
            <color indexed="81"/>
            <rFont val="Tahoma"/>
            <family val="2"/>
          </rPr>
          <t xml:space="preserve">
</t>
        </r>
      </text>
    </comment>
    <comment ref="W14" authorId="0" shapeId="0">
      <text>
        <r>
          <rPr>
            <b/>
            <sz val="9"/>
            <color indexed="81"/>
            <rFont val="Tahoma"/>
            <family val="2"/>
          </rPr>
          <t>Author:
Change assumptions as necessary</t>
        </r>
        <r>
          <rPr>
            <sz val="9"/>
            <color indexed="81"/>
            <rFont val="Tahoma"/>
            <family val="2"/>
          </rPr>
          <t xml:space="preserve">
</t>
        </r>
      </text>
    </comment>
    <comment ref="X14" authorId="0" shapeId="0">
      <text>
        <r>
          <rPr>
            <b/>
            <sz val="9"/>
            <color indexed="81"/>
            <rFont val="Tahoma"/>
            <family val="2"/>
          </rPr>
          <t>Author:
Change assumptions as necessary</t>
        </r>
        <r>
          <rPr>
            <sz val="9"/>
            <color indexed="81"/>
            <rFont val="Tahoma"/>
            <family val="2"/>
          </rPr>
          <t xml:space="preserve">
</t>
        </r>
      </text>
    </comment>
    <comment ref="Y14" authorId="0" shapeId="0">
      <text>
        <r>
          <rPr>
            <b/>
            <sz val="9"/>
            <color indexed="81"/>
            <rFont val="Tahoma"/>
            <family val="2"/>
          </rPr>
          <t>Author:
Change assumptions as necessary</t>
        </r>
        <r>
          <rPr>
            <sz val="9"/>
            <color indexed="81"/>
            <rFont val="Tahoma"/>
            <family val="2"/>
          </rPr>
          <t xml:space="preserve">
</t>
        </r>
      </text>
    </comment>
    <comment ref="Z14" authorId="0" shapeId="0">
      <text>
        <r>
          <rPr>
            <b/>
            <sz val="9"/>
            <color indexed="81"/>
            <rFont val="Tahoma"/>
            <family val="2"/>
          </rPr>
          <t>Author:
Change assumptions as necessary</t>
        </r>
        <r>
          <rPr>
            <sz val="9"/>
            <color indexed="81"/>
            <rFont val="Tahoma"/>
            <family val="2"/>
          </rPr>
          <t xml:space="preserve">
</t>
        </r>
      </text>
    </comment>
    <comment ref="AA14" authorId="0" shapeId="0">
      <text>
        <r>
          <rPr>
            <b/>
            <sz val="9"/>
            <color indexed="81"/>
            <rFont val="Tahoma"/>
            <family val="2"/>
          </rPr>
          <t>Author:
Change assumptions as necessary</t>
        </r>
        <r>
          <rPr>
            <sz val="9"/>
            <color indexed="81"/>
            <rFont val="Tahoma"/>
            <family val="2"/>
          </rPr>
          <t xml:space="preserve">
</t>
        </r>
      </text>
    </comment>
    <comment ref="R18" authorId="0" shapeId="0">
      <text>
        <r>
          <rPr>
            <b/>
            <sz val="9"/>
            <color indexed="81"/>
            <rFont val="Tahoma"/>
            <family val="2"/>
          </rPr>
          <t>Author:
Change assumptions as necessary</t>
        </r>
        <r>
          <rPr>
            <sz val="9"/>
            <color indexed="81"/>
            <rFont val="Tahoma"/>
            <family val="2"/>
          </rPr>
          <t xml:space="preserve">
</t>
        </r>
      </text>
    </comment>
    <comment ref="S18" authorId="0" shapeId="0">
      <text>
        <r>
          <rPr>
            <b/>
            <sz val="9"/>
            <color indexed="81"/>
            <rFont val="Tahoma"/>
            <family val="2"/>
          </rPr>
          <t>Author:
Change assumptions as necessary</t>
        </r>
        <r>
          <rPr>
            <sz val="9"/>
            <color indexed="81"/>
            <rFont val="Tahoma"/>
            <family val="2"/>
          </rPr>
          <t xml:space="preserve">
</t>
        </r>
      </text>
    </comment>
    <comment ref="T18" authorId="0" shapeId="0">
      <text>
        <r>
          <rPr>
            <b/>
            <sz val="9"/>
            <color indexed="81"/>
            <rFont val="Tahoma"/>
            <family val="2"/>
          </rPr>
          <t>Author:
Change assumptions as necessary</t>
        </r>
        <r>
          <rPr>
            <sz val="9"/>
            <color indexed="81"/>
            <rFont val="Tahoma"/>
            <family val="2"/>
          </rPr>
          <t xml:space="preserve">
</t>
        </r>
      </text>
    </comment>
    <comment ref="U18" authorId="0" shapeId="0">
      <text>
        <r>
          <rPr>
            <b/>
            <sz val="9"/>
            <color indexed="81"/>
            <rFont val="Tahoma"/>
            <family val="2"/>
          </rPr>
          <t>Author:
Change assumptions as necessary</t>
        </r>
        <r>
          <rPr>
            <sz val="9"/>
            <color indexed="81"/>
            <rFont val="Tahoma"/>
            <family val="2"/>
          </rPr>
          <t xml:space="preserve">
</t>
        </r>
      </text>
    </comment>
    <comment ref="V18" authorId="0" shapeId="0">
      <text>
        <r>
          <rPr>
            <b/>
            <sz val="9"/>
            <color indexed="81"/>
            <rFont val="Tahoma"/>
            <family val="2"/>
          </rPr>
          <t>Author:
Change assumptions as necessary</t>
        </r>
        <r>
          <rPr>
            <sz val="9"/>
            <color indexed="81"/>
            <rFont val="Tahoma"/>
            <family val="2"/>
          </rPr>
          <t xml:space="preserve">
</t>
        </r>
      </text>
    </comment>
    <comment ref="W18" authorId="0" shapeId="0">
      <text>
        <r>
          <rPr>
            <b/>
            <sz val="9"/>
            <color indexed="81"/>
            <rFont val="Tahoma"/>
            <family val="2"/>
          </rPr>
          <t>Author:
Change assumptions as necessary</t>
        </r>
        <r>
          <rPr>
            <sz val="9"/>
            <color indexed="81"/>
            <rFont val="Tahoma"/>
            <family val="2"/>
          </rPr>
          <t xml:space="preserve">
</t>
        </r>
      </text>
    </comment>
    <comment ref="X18" authorId="0" shapeId="0">
      <text>
        <r>
          <rPr>
            <b/>
            <sz val="9"/>
            <color indexed="81"/>
            <rFont val="Tahoma"/>
            <family val="2"/>
          </rPr>
          <t>Author:
Change assumptions as necessary</t>
        </r>
        <r>
          <rPr>
            <sz val="9"/>
            <color indexed="81"/>
            <rFont val="Tahoma"/>
            <family val="2"/>
          </rPr>
          <t xml:space="preserve">
</t>
        </r>
      </text>
    </comment>
    <comment ref="Y18" authorId="0" shapeId="0">
      <text>
        <r>
          <rPr>
            <b/>
            <sz val="9"/>
            <color indexed="81"/>
            <rFont val="Tahoma"/>
            <family val="2"/>
          </rPr>
          <t>Author:
Change assumptions as necessary</t>
        </r>
        <r>
          <rPr>
            <sz val="9"/>
            <color indexed="81"/>
            <rFont val="Tahoma"/>
            <family val="2"/>
          </rPr>
          <t xml:space="preserve">
</t>
        </r>
      </text>
    </comment>
    <comment ref="Z18" authorId="0" shapeId="0">
      <text>
        <r>
          <rPr>
            <b/>
            <sz val="9"/>
            <color indexed="81"/>
            <rFont val="Tahoma"/>
            <family val="2"/>
          </rPr>
          <t>Author:
Change assumptions as necessary</t>
        </r>
        <r>
          <rPr>
            <sz val="9"/>
            <color indexed="81"/>
            <rFont val="Tahoma"/>
            <family val="2"/>
          </rPr>
          <t xml:space="preserve">
</t>
        </r>
      </text>
    </comment>
    <comment ref="AA18" authorId="0" shapeId="0">
      <text>
        <r>
          <rPr>
            <b/>
            <sz val="9"/>
            <color indexed="81"/>
            <rFont val="Tahoma"/>
            <family val="2"/>
          </rPr>
          <t>Author:
Change assumptions as necessary</t>
        </r>
        <r>
          <rPr>
            <sz val="9"/>
            <color indexed="81"/>
            <rFont val="Tahoma"/>
            <family val="2"/>
          </rPr>
          <t xml:space="preserve">
</t>
        </r>
      </text>
    </comment>
    <comment ref="R19" authorId="0" shapeId="0">
      <text>
        <r>
          <rPr>
            <b/>
            <sz val="9"/>
            <color indexed="81"/>
            <rFont val="Tahoma"/>
            <family val="2"/>
          </rPr>
          <t>Author:
Change assumptions as necessary</t>
        </r>
        <r>
          <rPr>
            <sz val="9"/>
            <color indexed="81"/>
            <rFont val="Tahoma"/>
            <family val="2"/>
          </rPr>
          <t xml:space="preserve">
</t>
        </r>
      </text>
    </comment>
    <comment ref="S19" authorId="0" shapeId="0">
      <text>
        <r>
          <rPr>
            <b/>
            <sz val="9"/>
            <color indexed="81"/>
            <rFont val="Tahoma"/>
            <family val="2"/>
          </rPr>
          <t>Author:
Change assumptions as necessary</t>
        </r>
        <r>
          <rPr>
            <sz val="9"/>
            <color indexed="81"/>
            <rFont val="Tahoma"/>
            <family val="2"/>
          </rPr>
          <t xml:space="preserve">
</t>
        </r>
      </text>
    </comment>
    <comment ref="T19" authorId="0" shapeId="0">
      <text>
        <r>
          <rPr>
            <b/>
            <sz val="9"/>
            <color indexed="81"/>
            <rFont val="Tahoma"/>
            <family val="2"/>
          </rPr>
          <t>Author:
Change assumptions as necessary</t>
        </r>
        <r>
          <rPr>
            <sz val="9"/>
            <color indexed="81"/>
            <rFont val="Tahoma"/>
            <family val="2"/>
          </rPr>
          <t xml:space="preserve">
</t>
        </r>
      </text>
    </comment>
    <comment ref="U19" authorId="0" shapeId="0">
      <text>
        <r>
          <rPr>
            <b/>
            <sz val="9"/>
            <color indexed="81"/>
            <rFont val="Tahoma"/>
            <family val="2"/>
          </rPr>
          <t>Author:
Change assumptions as necessary</t>
        </r>
        <r>
          <rPr>
            <sz val="9"/>
            <color indexed="81"/>
            <rFont val="Tahoma"/>
            <family val="2"/>
          </rPr>
          <t xml:space="preserve">
</t>
        </r>
      </text>
    </comment>
    <comment ref="V19" authorId="0" shapeId="0">
      <text>
        <r>
          <rPr>
            <b/>
            <sz val="9"/>
            <color indexed="81"/>
            <rFont val="Tahoma"/>
            <family val="2"/>
          </rPr>
          <t>Author:
Change assumptions as necessary</t>
        </r>
        <r>
          <rPr>
            <sz val="9"/>
            <color indexed="81"/>
            <rFont val="Tahoma"/>
            <family val="2"/>
          </rPr>
          <t xml:space="preserve">
</t>
        </r>
      </text>
    </comment>
    <comment ref="W19" authorId="0" shapeId="0">
      <text>
        <r>
          <rPr>
            <b/>
            <sz val="9"/>
            <color indexed="81"/>
            <rFont val="Tahoma"/>
            <family val="2"/>
          </rPr>
          <t>Author:
Change assumptions as necessary</t>
        </r>
        <r>
          <rPr>
            <sz val="9"/>
            <color indexed="81"/>
            <rFont val="Tahoma"/>
            <family val="2"/>
          </rPr>
          <t xml:space="preserve">
</t>
        </r>
      </text>
    </comment>
    <comment ref="X19" authorId="0" shapeId="0">
      <text>
        <r>
          <rPr>
            <b/>
            <sz val="9"/>
            <color indexed="81"/>
            <rFont val="Tahoma"/>
            <family val="2"/>
          </rPr>
          <t>Author:
Change assumptions as necessary</t>
        </r>
        <r>
          <rPr>
            <sz val="9"/>
            <color indexed="81"/>
            <rFont val="Tahoma"/>
            <family val="2"/>
          </rPr>
          <t xml:space="preserve">
</t>
        </r>
      </text>
    </comment>
    <comment ref="Y19" authorId="0" shapeId="0">
      <text>
        <r>
          <rPr>
            <b/>
            <sz val="9"/>
            <color indexed="81"/>
            <rFont val="Tahoma"/>
            <family val="2"/>
          </rPr>
          <t>Author:
Change assumptions as necessary</t>
        </r>
        <r>
          <rPr>
            <sz val="9"/>
            <color indexed="81"/>
            <rFont val="Tahoma"/>
            <family val="2"/>
          </rPr>
          <t xml:space="preserve">
</t>
        </r>
      </text>
    </comment>
    <comment ref="Z19" authorId="0" shapeId="0">
      <text>
        <r>
          <rPr>
            <b/>
            <sz val="9"/>
            <color indexed="81"/>
            <rFont val="Tahoma"/>
            <family val="2"/>
          </rPr>
          <t>Author:
Change assumptions as necessary</t>
        </r>
        <r>
          <rPr>
            <sz val="9"/>
            <color indexed="81"/>
            <rFont val="Tahoma"/>
            <family val="2"/>
          </rPr>
          <t xml:space="preserve">
</t>
        </r>
      </text>
    </comment>
    <comment ref="AA19" authorId="0" shapeId="0">
      <text>
        <r>
          <rPr>
            <b/>
            <sz val="9"/>
            <color indexed="81"/>
            <rFont val="Tahoma"/>
            <family val="2"/>
          </rPr>
          <t>Author:
Change assumptions as necessary</t>
        </r>
        <r>
          <rPr>
            <sz val="9"/>
            <color indexed="81"/>
            <rFont val="Tahoma"/>
            <family val="2"/>
          </rPr>
          <t xml:space="preserve">
</t>
        </r>
      </text>
    </comment>
  </commentList>
</comments>
</file>

<file path=xl/comments4.xml><?xml version="1.0" encoding="utf-8"?>
<comments xmlns="http://schemas.openxmlformats.org/spreadsheetml/2006/main">
  <authors>
    <author>Author</author>
  </authors>
  <commentList>
    <comment ref="D28" authorId="0" shapeId="0">
      <text>
        <r>
          <rPr>
            <b/>
            <sz val="9"/>
            <color indexed="81"/>
            <rFont val="Tahoma"/>
            <family val="2"/>
          </rPr>
          <t>Author:</t>
        </r>
        <r>
          <rPr>
            <sz val="9"/>
            <color indexed="81"/>
            <rFont val="Tahoma"/>
            <family val="2"/>
          </rPr>
          <t xml:space="preserve">
Change rate as needed</t>
        </r>
      </text>
    </comment>
    <comment ref="D37" authorId="0" shapeId="0">
      <text>
        <r>
          <rPr>
            <b/>
            <sz val="9"/>
            <color indexed="81"/>
            <rFont val="Tahoma"/>
            <family val="2"/>
          </rPr>
          <t>Author:</t>
        </r>
        <r>
          <rPr>
            <sz val="9"/>
            <color indexed="81"/>
            <rFont val="Tahoma"/>
            <family val="2"/>
          </rPr>
          <t xml:space="preserve">
Change rate as needed</t>
        </r>
      </text>
    </comment>
    <comment ref="G37" authorId="0" shapeId="0">
      <text>
        <r>
          <rPr>
            <b/>
            <sz val="9"/>
            <color indexed="81"/>
            <rFont val="Tahoma"/>
            <family val="2"/>
          </rPr>
          <t>Author:</t>
        </r>
        <r>
          <rPr>
            <sz val="9"/>
            <color indexed="81"/>
            <rFont val="Tahoma"/>
            <family val="2"/>
          </rPr>
          <t xml:space="preserve">
Change exit multiple as needed</t>
        </r>
      </text>
    </comment>
  </commentList>
</comments>
</file>

<file path=xl/comments5.xml><?xml version="1.0" encoding="utf-8"?>
<comments xmlns="http://schemas.openxmlformats.org/spreadsheetml/2006/main">
  <authors>
    <author>JPMorgan Chase &amp; Co.</author>
  </authors>
  <commentList>
    <comment ref="J6" authorId="0" shapeId="0">
      <text>
        <r>
          <rPr>
            <b/>
            <sz val="9"/>
            <color indexed="81"/>
            <rFont val="Tahoma"/>
            <family val="2"/>
          </rPr>
          <t>Author:
To the extent you are breaking any bonds ahead of the first call data, you can utilize the make-whole calculater on the right to compute breakage fees</t>
        </r>
      </text>
    </comment>
  </commentList>
</comments>
</file>

<file path=xl/sharedStrings.xml><?xml version="1.0" encoding="utf-8"?>
<sst xmlns="http://schemas.openxmlformats.org/spreadsheetml/2006/main" count="467" uniqueCount="325">
  <si>
    <t>Operating Model (in millions)</t>
  </si>
  <si>
    <t>Income Statement Assumptions</t>
  </si>
  <si>
    <t xml:space="preserve"> </t>
  </si>
  <si>
    <t>Revenue</t>
  </si>
  <si>
    <t>Net sales</t>
  </si>
  <si>
    <t>Total Revenue</t>
  </si>
  <si>
    <t>% Growth</t>
  </si>
  <si>
    <t>Operating Costs</t>
  </si>
  <si>
    <t>Cost of revenue</t>
  </si>
  <si>
    <t>R&amp;D</t>
  </si>
  <si>
    <t>SG&amp;A</t>
  </si>
  <si>
    <t>Non-recurring</t>
  </si>
  <si>
    <t>Other</t>
  </si>
  <si>
    <t>Total operating costs</t>
  </si>
  <si>
    <t>Operating Income</t>
  </si>
  <si>
    <t>EBIT</t>
  </si>
  <si>
    <t>% Margin</t>
  </si>
  <si>
    <t>DA (from cash flow statement)</t>
  </si>
  <si>
    <t>EBITDA</t>
  </si>
  <si>
    <t>Interst expense</t>
  </si>
  <si>
    <t>(Interest income)</t>
  </si>
  <si>
    <t>(Other income) / expense</t>
  </si>
  <si>
    <t>Total Other Non-Operaring expense (income)</t>
  </si>
  <si>
    <t>EBT</t>
  </si>
  <si>
    <t>Income Tax Expense</t>
  </si>
  <si>
    <t>ETR</t>
  </si>
  <si>
    <t>Minority interest</t>
  </si>
  <si>
    <t>Net Income</t>
  </si>
  <si>
    <t>Cap Ex</t>
  </si>
  <si>
    <t>Standardized Balance Sheet</t>
  </si>
  <si>
    <t>Cash</t>
  </si>
  <si>
    <t>Cash And Cash Equivalents</t>
  </si>
  <si>
    <t>NA</t>
  </si>
  <si>
    <t>Short Term Investments</t>
  </si>
  <si>
    <t>Total Cash</t>
  </si>
  <si>
    <t>Current Assets Excluding Cash</t>
  </si>
  <si>
    <t>Restricted cash</t>
  </si>
  <si>
    <t>Net Receivables</t>
  </si>
  <si>
    <t>Inventory</t>
  </si>
  <si>
    <t>Other Current Assets</t>
  </si>
  <si>
    <t>Total Current Assets Excluding Cash</t>
  </si>
  <si>
    <t>Long-Term Assets</t>
  </si>
  <si>
    <t>PP&amp;E, net</t>
  </si>
  <si>
    <t>Goodwill</t>
  </si>
  <si>
    <t>Long Term Investments</t>
  </si>
  <si>
    <t>Intangible Assets</t>
  </si>
  <si>
    <t>Other Assets</t>
  </si>
  <si>
    <t>Total Long-Term Assets</t>
  </si>
  <si>
    <t>Total Assets</t>
  </si>
  <si>
    <t>Current Liabilities Excluding Debt</t>
  </si>
  <si>
    <t>Accounts Payable</t>
  </si>
  <si>
    <t>Other Current Liabilities</t>
  </si>
  <si>
    <t>Total Current Liabilities Excluding Debt</t>
  </si>
  <si>
    <t>Debt / capital structure</t>
  </si>
  <si>
    <t>Debt 1</t>
  </si>
  <si>
    <t>Debt 2</t>
  </si>
  <si>
    <t>Debt 3</t>
  </si>
  <si>
    <t>Debt 4</t>
  </si>
  <si>
    <t>Debt 5</t>
  </si>
  <si>
    <t>Debt 6</t>
  </si>
  <si>
    <t>Debt 7</t>
  </si>
  <si>
    <t>Debt 8</t>
  </si>
  <si>
    <t>Debt 9</t>
  </si>
  <si>
    <t>Total Debt</t>
  </si>
  <si>
    <t>Long-Term Liabilities</t>
  </si>
  <si>
    <t>Other Liabilities</t>
  </si>
  <si>
    <t>Deferred Long Term Liability Charges</t>
  </si>
  <si>
    <t>Minority Interest</t>
  </si>
  <si>
    <t>Total Long-Term Liabilities</t>
  </si>
  <si>
    <t>Total Liabilities</t>
  </si>
  <si>
    <t>Shareholders Equity</t>
  </si>
  <si>
    <t>Total stockholders' equity</t>
  </si>
  <si>
    <t>Total Shareholders Equity</t>
  </si>
  <si>
    <t>Total Liabilities and Equity</t>
  </si>
  <si>
    <t>Check</t>
  </si>
  <si>
    <t>Free cash flow before amortization of debt</t>
  </si>
  <si>
    <t>Total other non-operating income</t>
  </si>
  <si>
    <t>CapEx</t>
  </si>
  <si>
    <t>Interest Expense (income) + minority interest</t>
  </si>
  <si>
    <t>Taxes</t>
  </si>
  <si>
    <t>Change in WC</t>
  </si>
  <si>
    <t>Change in Long-Term Net Assets (Ex. PPE, Amort. fees, Debt)</t>
  </si>
  <si>
    <t>FCF</t>
  </si>
  <si>
    <t>D&amp;A</t>
  </si>
  <si>
    <t>Projected Debt amortization / maturity schedule ($)</t>
  </si>
  <si>
    <t>Actual debt amortization / maturity schedule ($)</t>
  </si>
  <si>
    <t>Free cash flow after amortization of debt</t>
  </si>
  <si>
    <t>FCF available for excess paydown (draw) of debt</t>
  </si>
  <si>
    <t>Minimum cash check</t>
  </si>
  <si>
    <t>Cash available to paydown / (need for draw)</t>
  </si>
  <si>
    <t>Excess paydown (draw) schedule</t>
  </si>
  <si>
    <t>Revolving?</t>
  </si>
  <si>
    <t>Sweep</t>
  </si>
  <si>
    <t>Total paydown (cash to balance sheet)</t>
  </si>
  <si>
    <t>Interest expense (income)</t>
  </si>
  <si>
    <t>LIBOR</t>
  </si>
  <si>
    <t>Margin</t>
  </si>
  <si>
    <t>Libor (%)</t>
  </si>
  <si>
    <t>Interest on cash</t>
  </si>
  <si>
    <t>Net Interest Expense</t>
  </si>
  <si>
    <t>CIRC_breaker</t>
  </si>
  <si>
    <t>Net income calculations</t>
  </si>
  <si>
    <t>Net Interest expense + minority interest</t>
  </si>
  <si>
    <t>Balance sheet</t>
  </si>
  <si>
    <t>Opening</t>
  </si>
  <si>
    <t>+/-</t>
  </si>
  <si>
    <t>Closing</t>
  </si>
  <si>
    <t>Current Liabilities (Excl. Debt)</t>
  </si>
  <si>
    <t>Long-Term Liabilities (Ex. Debt)</t>
  </si>
  <si>
    <t>Debt</t>
  </si>
  <si>
    <t>Equity</t>
  </si>
  <si>
    <t>check</t>
  </si>
  <si>
    <t>Working capital</t>
  </si>
  <si>
    <t>Change in Working capital</t>
  </si>
  <si>
    <t>Long-Term Net Assets (Ex. PPE, Amort. Fees, Debt)</t>
  </si>
  <si>
    <t>Change in Long-Term Net Assets (Ex. PPE, Amort. Fees, Debt)</t>
  </si>
  <si>
    <t>Returns Analysis</t>
  </si>
  <si>
    <t>ROE</t>
  </si>
  <si>
    <t>ROA</t>
  </si>
  <si>
    <t>Credit Metrics</t>
  </si>
  <si>
    <t>Total debt/EBITDA</t>
  </si>
  <si>
    <t>Net debt/EBITDA</t>
  </si>
  <si>
    <t>EBITDA-CapEx /interest expense</t>
  </si>
  <si>
    <t>Debt/total book capitalization</t>
  </si>
  <si>
    <t>Working capital projections</t>
  </si>
  <si>
    <t>Working capital assumptions</t>
  </si>
  <si>
    <t>COGS</t>
  </si>
  <si>
    <t>Current Assets Ex Cash</t>
  </si>
  <si>
    <t>Total Current Assets Ex Cash</t>
  </si>
  <si>
    <t>Current Liabilities Ex Debt</t>
  </si>
  <si>
    <t>Total Current Liabilities Ex Debt</t>
  </si>
  <si>
    <t>Working Capital</t>
  </si>
  <si>
    <t>Change in Working Caital</t>
  </si>
  <si>
    <t>Free cash flow</t>
  </si>
  <si>
    <t>Sales</t>
  </si>
  <si>
    <t>Depreciation</t>
  </si>
  <si>
    <t>Unlevered net income</t>
  </si>
  <si>
    <t>+ Depreciation</t>
  </si>
  <si>
    <t>- Capital expenditures</t>
  </si>
  <si>
    <t xml:space="preserve">-/+ Changes in working capital </t>
  </si>
  <si>
    <t>Unlevered free cash flow</t>
  </si>
  <si>
    <t xml:space="preserve">Current net debt </t>
  </si>
  <si>
    <t>Discounted cash flow analysis</t>
  </si>
  <si>
    <t>Time period of discount (Years)</t>
  </si>
  <si>
    <t>Time period of discount (Years) - mid-year convention</t>
  </si>
  <si>
    <t>Discount rate</t>
  </si>
  <si>
    <t>Discount factor</t>
  </si>
  <si>
    <t>PV of unlevered free cash flow</t>
  </si>
  <si>
    <t>Total enterprise value (perpetuity method)</t>
  </si>
  <si>
    <t>Perpetuity method</t>
  </si>
  <si>
    <t>Multiples method</t>
  </si>
  <si>
    <t xml:space="preserve">Perp growth rate / multiple </t>
  </si>
  <si>
    <t xml:space="preserve">PV of UFCF </t>
  </si>
  <si>
    <t xml:space="preserve">Discount rate </t>
  </si>
  <si>
    <t>Terminal value</t>
  </si>
  <si>
    <t>PV of terminal value</t>
  </si>
  <si>
    <t>TEV</t>
  </si>
  <si>
    <t>Net debt</t>
  </si>
  <si>
    <t>Equity value</t>
  </si>
  <si>
    <t>Purchase price calculation</t>
  </si>
  <si>
    <t>Sources</t>
  </si>
  <si>
    <t>Uses</t>
  </si>
  <si>
    <t>Bond make-whole premium</t>
  </si>
  <si>
    <t>Cash on balance sheet</t>
  </si>
  <si>
    <t>Purchase Equity</t>
  </si>
  <si>
    <t>Bond 1</t>
  </si>
  <si>
    <t>Bond 2</t>
  </si>
  <si>
    <t>Bond 3</t>
  </si>
  <si>
    <t>Bond 4</t>
  </si>
  <si>
    <t>Example</t>
  </si>
  <si>
    <t>Purchase multiple</t>
  </si>
  <si>
    <t>Revolver</t>
  </si>
  <si>
    <t>Make-whole premium</t>
  </si>
  <si>
    <t>Outstanding amount</t>
  </si>
  <si>
    <t>Enterprise Value</t>
  </si>
  <si>
    <t>Term Loan 1</t>
  </si>
  <si>
    <t>Fees</t>
  </si>
  <si>
    <t>Settlement date</t>
  </si>
  <si>
    <t>Term Loan 2</t>
  </si>
  <si>
    <t>Maturity</t>
  </si>
  <si>
    <t>Total debt (+)</t>
  </si>
  <si>
    <t>Term Loan 3</t>
  </si>
  <si>
    <t>Coupon</t>
  </si>
  <si>
    <t>Minoroty interest (+)</t>
  </si>
  <si>
    <t>Secured Note 1</t>
  </si>
  <si>
    <t>Price (per 100 face value)</t>
  </si>
  <si>
    <t>Total cash (-)</t>
  </si>
  <si>
    <t>Secured Note 2</t>
  </si>
  <si>
    <t>Redemption (per 100 face value)</t>
  </si>
  <si>
    <t>Net Debt</t>
  </si>
  <si>
    <t>Unsecured Note 1</t>
  </si>
  <si>
    <t>Yield</t>
  </si>
  <si>
    <t>Unsecured Note 2</t>
  </si>
  <si>
    <t>Spread</t>
  </si>
  <si>
    <t>Make-whole call</t>
  </si>
  <si>
    <t>Comparable treasury yield</t>
  </si>
  <si>
    <t>Make-whole price (% of par)</t>
  </si>
  <si>
    <t>Rolled over debt</t>
  </si>
  <si>
    <t>Roll over debt</t>
  </si>
  <si>
    <t>Market price</t>
  </si>
  <si>
    <t>Sponsor equity</t>
  </si>
  <si>
    <t>Take-out minority interest</t>
  </si>
  <si>
    <t>Make-whole price ($)</t>
  </si>
  <si>
    <t>Total sources</t>
  </si>
  <si>
    <t>Total uses</t>
  </si>
  <si>
    <t>Make-whole $ premium</t>
  </si>
  <si>
    <t>Total other non-operating costs</t>
  </si>
  <si>
    <t>Interest Expense</t>
  </si>
  <si>
    <t>Unused Commitment Fee</t>
  </si>
  <si>
    <t>Revolver limit</t>
  </si>
  <si>
    <t>Net Interest expense</t>
  </si>
  <si>
    <t>Fee amortization expense</t>
  </si>
  <si>
    <t>Amortized Fees</t>
  </si>
  <si>
    <t>Years</t>
  </si>
  <si>
    <t>Exit multiple (EV/EBITDA)</t>
  </si>
  <si>
    <t>Implied Enterprise Value</t>
  </si>
  <si>
    <t>Equity Value</t>
  </si>
  <si>
    <t>IRR by year</t>
  </si>
  <si>
    <t>Purple font</t>
  </si>
  <si>
    <t>Data inputs from publicly available sources</t>
  </si>
  <si>
    <t>Blue font</t>
  </si>
  <si>
    <t>Formulas and hardcoded cells that that can be changed by the user</t>
  </si>
  <si>
    <t>Green font</t>
  </si>
  <si>
    <t>A reference from another worksheet</t>
  </si>
  <si>
    <t>Black font</t>
  </si>
  <si>
    <t>A mix of formulas and hardcoded cells that can be changed by the user</t>
  </si>
  <si>
    <t>The main model is based on standardized income statement, balance sheet, and cash flow items</t>
  </si>
  <si>
    <t>We have included "as reported" detail in the next 3 sheets for reference as well (data provided by Calcbench)</t>
  </si>
  <si>
    <t>Cost of sales</t>
  </si>
  <si>
    <t>Gross margin</t>
  </si>
  <si>
    <t>Operating expenses:</t>
  </si>
  <si>
    <t>Research and development</t>
  </si>
  <si>
    <t>Selling, general and administrative</t>
  </si>
  <si>
    <t>Total operating expenses</t>
  </si>
  <si>
    <t>Operating income</t>
  </si>
  <si>
    <t>Other income/(expense), net</t>
  </si>
  <si>
    <t>Income before provision for income taxes</t>
  </si>
  <si>
    <t>Provision for income taxes</t>
  </si>
  <si>
    <t>Net income</t>
  </si>
  <si>
    <t>Earnings per share:</t>
  </si>
  <si>
    <t>Shares used in computing earnings per share:</t>
  </si>
  <si>
    <t>Current assets:</t>
  </si>
  <si>
    <t>Cash and cash equivalents</t>
  </si>
  <si>
    <t>Short-term marketable securities</t>
  </si>
  <si>
    <t>Inventories</t>
  </si>
  <si>
    <t>Vendor non-trade receivables</t>
  </si>
  <si>
    <t>Other current assets</t>
  </si>
  <si>
    <t>Total current assets</t>
  </si>
  <si>
    <t>Long-term marketable securities</t>
  </si>
  <si>
    <t>Property, plant and equipment, net</t>
  </si>
  <si>
    <t>Acquired intangible assets, net</t>
  </si>
  <si>
    <t>Total assets</t>
  </si>
  <si>
    <t>Current liabilities:</t>
  </si>
  <si>
    <t>Accounts payable</t>
  </si>
  <si>
    <t>Accrued expenses</t>
  </si>
  <si>
    <t>Deferred revenue</t>
  </si>
  <si>
    <t>Commercial paper</t>
  </si>
  <si>
    <t>Current portion of long-term debt</t>
  </si>
  <si>
    <t>Total current liabilities</t>
  </si>
  <si>
    <t>Deferred revenue, non-current</t>
  </si>
  <si>
    <t>Long-term debt</t>
  </si>
  <si>
    <t>Other non-current liabilities</t>
  </si>
  <si>
    <t>Total liabilities</t>
  </si>
  <si>
    <t>Retained earnings</t>
  </si>
  <si>
    <t>Cash and cash equivalents, beginning of the year</t>
  </si>
  <si>
    <t>Operating activities:</t>
  </si>
  <si>
    <t>Adjustments to reconcile net income to cash generated by operating activities:</t>
  </si>
  <si>
    <t>Depreciation and amortization</t>
  </si>
  <si>
    <t>Share-based compensation expense</t>
  </si>
  <si>
    <t>Deferred income tax expense</t>
  </si>
  <si>
    <t>Changes in operating assets and liabilities:</t>
  </si>
  <si>
    <t>Accounts receivable, net</t>
  </si>
  <si>
    <t>Other current and non-current assets</t>
  </si>
  <si>
    <t>Other current and non-current liabilities</t>
  </si>
  <si>
    <t>Cash generated by operating activities</t>
  </si>
  <si>
    <t>Investing activities:</t>
  </si>
  <si>
    <t>Purchases of marketable securities</t>
  </si>
  <si>
    <t>Proceeds from maturities of marketable securities</t>
  </si>
  <si>
    <t>Proceeds from sales of marketable securities</t>
  </si>
  <si>
    <t>Payments made in connection with business acquisitions, net</t>
  </si>
  <si>
    <t>Payments for acquisition of property, plant and equipment</t>
  </si>
  <si>
    <t>Payments for acquisition of intangible assets</t>
  </si>
  <si>
    <t>Cash used in investing activities</t>
  </si>
  <si>
    <t>Financing activities:</t>
  </si>
  <si>
    <t>Proceeds from issuance of common stock</t>
  </si>
  <si>
    <t>Excess tax benefits from equity awards</t>
  </si>
  <si>
    <t>Proceeds from issuance of term debt, net</t>
  </si>
  <si>
    <t>Change in commercial paper, net</t>
  </si>
  <si>
    <t>Cash used in financing activities</t>
  </si>
  <si>
    <t>Cash and cash equivalents, end of the year</t>
  </si>
  <si>
    <t>Supplemental cash flow disclosure:</t>
  </si>
  <si>
    <t>Cash paid for income taxes, net</t>
  </si>
  <si>
    <t>Cash paid for interest</t>
  </si>
  <si>
    <t>FCF / Credit stats</t>
  </si>
  <si>
    <t>Debt/EBITDA</t>
  </si>
  <si>
    <t>Net debt / EBITDA</t>
  </si>
  <si>
    <t>EBITDA - Capex / interest</t>
  </si>
  <si>
    <t>CONSOLIDATED STATEMENTS OF OPERATIONS - USD ($) shares in Thousands, $ in Millions</t>
  </si>
  <si>
    <t>12 Months Ended</t>
  </si>
  <si>
    <t>Sep. 30, 2017</t>
  </si>
  <si>
    <t>Sep. 24, 2016</t>
  </si>
  <si>
    <t>Sep. 26, 2015</t>
  </si>
  <si>
    <t>Income Statement [Abstract]</t>
  </si>
  <si>
    <t>Basic (in dollars per share)</t>
  </si>
  <si>
    <t>Diluted (in dollars per share)</t>
  </si>
  <si>
    <t>Basic (in shares)</t>
  </si>
  <si>
    <t>Diluted (in shares)</t>
  </si>
  <si>
    <t>Cash dividends declared per share (in dollars per share)</t>
  </si>
  <si>
    <t>CONSOLIDATED BALANCE SHEETS - USD ($) $ in Millions</t>
  </si>
  <si>
    <t>Accounts receivable, less allowances of $58 and $53, respectively</t>
  </si>
  <si>
    <t>Other non-current assets</t>
  </si>
  <si>
    <t>Commitments and contingencies</t>
  </si>
  <si>
    <t>Shareholders’ equity:</t>
  </si>
  <si>
    <t>Common stock and additional paid-in capital, $0.00001 par value: 12,600,000 shares authorized; 5,126,201 and 5,336,166 shares issued and outstanding, respectively</t>
  </si>
  <si>
    <t>Accumulated other comprehensive income/(loss)</t>
  </si>
  <si>
    <t>Total shareholders’ equity</t>
  </si>
  <si>
    <t>Total liabilities and shareholders’ equity</t>
  </si>
  <si>
    <t>CONSOLIDATED STATEMENTS OF CASH FLOWS - USD ($) $ in Millions</t>
  </si>
  <si>
    <t>Statement of Cash Flows [Abstract]</t>
  </si>
  <si>
    <t>Payments for strategic investments, net</t>
  </si>
  <si>
    <t>Payments for taxes related to net share settlement of equity awards</t>
  </si>
  <si>
    <t>Payments for dividends and dividend equivalents</t>
  </si>
  <si>
    <t>Repurchases of common stock</t>
  </si>
  <si>
    <t>Repayments of term debt</t>
  </si>
  <si>
    <t>Increase/(Decrease) in cash and cash equivalents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</si>
</sst>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9">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_);\(0.0%\)"/>
    <numFmt numFmtId="166" formatCode="0000&quot;E&quot;"/>
    <numFmt numFmtId="167" formatCode="0000&quot;A&quot;"/>
    <numFmt numFmtId="168" formatCode="#,##0.0_);\(#,##0.0\)"/>
    <numFmt numFmtId="169" formatCode="&quot;$&quot;#,##0.0_);\(&quot;$&quot;#,##0.0\)"/>
    <numFmt numFmtId="170" formatCode="0.0\x"/>
    <numFmt numFmtId="171" formatCode="#,##0.0_);\(#,##0.0\);#,##0.0_);@_)"/>
    <numFmt numFmtId="172" formatCode="#,##0.0_);\(#,##0.0\);&quot;-&quot;?_);@_)"/>
    <numFmt numFmtId="173" formatCode="&quot;$&quot;#,##0.0_);\(&quot;$&quot;#,##0.0\);@_)"/>
    <numFmt numFmtId="174" formatCode="&quot;$&quot;#,##0.0_);\(&quot;$&quot;#,##0.0\);&quot;-&quot;?_);@_)"/>
    <numFmt numFmtId="175" formatCode="&quot;$&quot;#,##0.00_)_x_x;\(&quot;$&quot;#,##0.00\)_x_x"/>
    <numFmt numFmtId="176" formatCode="0.0%;\-0.0%;&quot;-&quot;?_);@_)"/>
    <numFmt numFmtId="177" formatCode="0.0%;\-0.0%;@_)"/>
    <numFmt numFmtId="178" formatCode="#,##0.0_);[Red]\(#,##0.0\)"/>
    <numFmt numFmtId="179" formatCode="[$$]#,##0_);\([$$]#,##0\);[$$]#,##0_);@_)"/>
    <numFmt numFmtId="180" formatCode="0.0_)\%;\(0.0\)\%;0.0_)\%;@_)_%"/>
    <numFmt numFmtId="181" formatCode="#,##0.0_)_%;\(#,##0.0\)_%;0.0_)_%;@_)_%"/>
    <numFmt numFmtId="182" formatCode="&quot;£&quot;_(#,##0.00_);&quot;£&quot;\(#,##0.00\)"/>
    <numFmt numFmtId="183" formatCode="&quot;$&quot;_(#,##0.00_);&quot;$&quot;\(#,##0.00\);&quot;$&quot;_(0.00_);@_)"/>
    <numFmt numFmtId="184" formatCode="_(&quot;$&quot;* #,##0.0_);_(&quot;$&quot;* \(#,##0.0\);_(&quot;$&quot;* &quot;-&quot;?_);_(@_)"/>
    <numFmt numFmtId="185" formatCode="#,##0.00_);\(#,##0.00\);0.00_);@_)"/>
    <numFmt numFmtId="186" formatCode="\€_(#,##0.00_);\€\(#,##0.00\);\€_(0.00_);@_)"/>
    <numFmt numFmtId="187" formatCode="#,##0_)\x;\(#,##0\)\x;0_)\x;@_)_x"/>
    <numFmt numFmtId="188" formatCode="#,##0_)_x;\(#,##0\)_x;0_)_x;@_)_x"/>
    <numFmt numFmtId="189" formatCode="_(* #,##0.0_);_(* \(#,##0.0\);_(* &quot;-&quot;?_);_(@_)"/>
    <numFmt numFmtId="190" formatCode="0.0%;\(0.0\)%"/>
    <numFmt numFmtId="191" formatCode="\+#,##0.0_);\(#,##0.0\)"/>
    <numFmt numFmtId="192" formatCode="#,##0.0_)_x_x_x;\(#,##0.0\)_x_x_x"/>
    <numFmt numFmtId="193" formatCode="#,##0.00_)_x_x;\(#,##0.00\)_x_x"/>
    <numFmt numFmtId="194" formatCode="&quot;$&quot;&quot; &quot;#,##0_);\(&quot;$&quot;&quot; &quot;#,##0\);\-_)"/>
    <numFmt numFmtId="195" formatCode="#,##0_);\(#,##0\);\-_)"/>
    <numFmt numFmtId="196" formatCode="0.0%_);\(0.0%\);\-_)"/>
    <numFmt numFmtId="197" formatCode="0.00%_);\(0.00%\);\-_)"/>
    <numFmt numFmtId="198" formatCode="_(* #,##0_);_(* \(#,##0\);_(* &quot;-&quot;??_);_(@_)"/>
    <numFmt numFmtId="199" formatCode="&quot;yes&quot;;&quot;no&quot;;&quot;no&quot;"/>
    <numFmt numFmtId="200" formatCode="General_)"/>
    <numFmt numFmtId="201" formatCode="#,##0.0000000_);[Red]\(#,##0.0000000\)"/>
    <numFmt numFmtId="202" formatCode="&quot;n&quot;"/>
    <numFmt numFmtId="203" formatCode="0.0000"/>
    <numFmt numFmtId="204" formatCode="#,##0;\(#,##0\)"/>
    <numFmt numFmtId="205" formatCode="0;[Red]0"/>
    <numFmt numFmtId="206" formatCode="0.00000000000000%"/>
    <numFmt numFmtId="207" formatCode="#,##0.0\x_);\(#,##0.0\x\)"/>
    <numFmt numFmtId="208" formatCode="&quot;$&quot;#,##0_%_);\(&quot;$&quot;#,##0\)_%;&quot;$&quot;#,##0_%_);@_%_)"/>
    <numFmt numFmtId="209" formatCode="&quot;$&quot;#,##0.0_);\(&quot;$&quot;#,##0.0\);&quot;- &quot;"/>
    <numFmt numFmtId="210" formatCode="&quot;$&quot;#,##0.00_);\(&quot;$&quot;#,##0.00\);&quot;- &quot;"/>
    <numFmt numFmtId="211" formatCode="_(&quot;$&quot;* #,##0_);_(&quot;$&quot;* \(#,##0\);_(&quot;$&quot;* &quot;-&quot;??_);_(@_)"/>
    <numFmt numFmtId="212" formatCode="&quot;$&quot;#,##0.00_%_);\(&quot;$&quot;#,##0.00\)_%;&quot;$&quot;#,##0.00_%_);@_%_)"/>
    <numFmt numFmtId="213" formatCode="#,##0.0000000000000_);\(#,##0.0000000000000\)"/>
    <numFmt numFmtId="214" formatCode="&quot;$&quot;#,##0\ ;\(&quot;$&quot;#,##0\)"/>
    <numFmt numFmtId="215" formatCode="mmm\-dd\-yyyy"/>
    <numFmt numFmtId="216" formatCode="d\-mmm\-yy_)"/>
    <numFmt numFmtId="217" formatCode="mmm\-yy_)"/>
    <numFmt numFmtId="218" formatCode="m/d/yy_%_)"/>
    <numFmt numFmtId="219" formatCode="0\ &quot;days&quot;"/>
    <numFmt numFmtId="220" formatCode="0.0&quot;  &quot;"/>
    <numFmt numFmtId="221" formatCode="0_%_);\(0\)_%;0_%_);@_%_)"/>
    <numFmt numFmtId="222" formatCode="\€\ #,##0.0_);\(\€\ #,##0.0\);@_)"/>
    <numFmt numFmtId="223" formatCode="\€\ #,##0.0_);\(\€\ #,##0.0\);&quot;-&quot;?_);@_)"/>
    <numFmt numFmtId="224" formatCode="_([$€-2]* #,##0.00_);_([$€-2]* \(#,##0.00\);_([$€-2]* &quot;-&quot;??_)"/>
    <numFmt numFmtId="225" formatCode="#,##0.0"/>
    <numFmt numFmtId="226" formatCode="0.0\%_);\(0.0\%\);0.0\%_);@_%_)"/>
    <numFmt numFmtId="227" formatCode=";;;"/>
    <numFmt numFmtId="228" formatCode="#,##0.0&quot; x&quot;_);\(#,##0.0&quot; x&quot;\)"/>
    <numFmt numFmtId="229" formatCode="&quot;$&quot;0.0_);\(&quot;$&quot;0.0\)"/>
    <numFmt numFmtId="230" formatCode="#,##0.0\x;\-#,##0.0\x;&quot;-&quot;?_);@_)"/>
    <numFmt numFmtId="231" formatCode="0.0\x_)_);\(0.0\x\)_);&quot;-&quot;_);_(@_)"/>
    <numFmt numFmtId="232" formatCode="mm/dd/yy"/>
    <numFmt numFmtId="233" formatCode="#,##0.0;\(#,##0.0\)"/>
    <numFmt numFmtId="234" formatCode="&quot;Yes&quot;;;&quot;No&quot;"/>
    <numFmt numFmtId="235" formatCode="#,##0.0_);\(#,##0.0_)"/>
    <numFmt numFmtId="236" formatCode="&quot;On&quot;;;&quot;Off&quot;"/>
    <numFmt numFmtId="237" formatCode="0.0%;[Red]\(0.0%\)"/>
    <numFmt numFmtId="238" formatCode="#,##0.0\%_);\(#,##0.0\%\);#,##0.0\%_);@_)"/>
    <numFmt numFmtId="239" formatCode="#,##0.0_);\(#,##0.0\);&quot;-&quot;_);_(@_)"/>
    <numFmt numFmtId="240" formatCode="&quot;Include&quot;;;&quot;Exclude&quot;"/>
    <numFmt numFmtId="241" formatCode="&quot;on&quot;;;&quot;off&quot;"/>
    <numFmt numFmtId="242" formatCode="0.00000"/>
    <numFmt numFmtId="243" formatCode="0.0000%"/>
    <numFmt numFmtId="244" formatCode="0.0\ &quot;days&quot;"/>
    <numFmt numFmtId="245" formatCode="\$#,##0.000_);\(\$#,##0.000\)"/>
    <numFmt numFmtId="246" formatCode="0.0\x_);\(0.0\x\)"/>
    <numFmt numFmtId="247" formatCode="&quot;Yes&quot;\ ;;\ &quot;No&quot;"/>
    <numFmt numFmtId="248" formatCode="#,##0.0%_);\(#,##0.0%\)"/>
    <numFmt numFmtId="249" formatCode="0000&quot;E&quot;_)"/>
    <numFmt numFmtId="250" formatCode="#,##0.00%_);\(#,##0.00%\)"/>
    <numFmt numFmtId="251" formatCode="0000&quot;A&quot;_)"/>
    <numFmt numFmtId="252" formatCode="_(&quot;$ &quot;#,##0_);_(&quot;$ &quot;\(#,##0\)"/>
    <numFmt numFmtId="253" formatCode="_(&quot;$ &quot;#,##0.00_);_(&quot;$ &quot;\(#,##0.00\)"/>
    <numFmt numFmtId="254" formatCode="_(&quot;$ &quot;#,##0.0_);_(&quot;$ &quot;\(#,##0.0\)"/>
  </numFmts>
  <fonts count="141">
    <font>
      <sz val="11"/>
      <color theme="1"/>
      <name val="Calibri"/>
      <family val="2"/>
      <scheme val="minor"/>
    </font>
    <font>
      <sz val="11"/>
      <color theme="1"/>
      <name val="Calibri"/>
      <family val="2"/>
      <scheme val="minor"/>
    </font>
    <font>
      <sz val="10"/>
      <name val="Arial"/>
      <family val="2"/>
    </font>
    <font>
      <sz val="11"/>
      <name val="Calibri"/>
      <family val="2"/>
      <scheme val="minor"/>
    </font>
    <font>
      <sz val="8"/>
      <name val="Arial"/>
      <family val="2"/>
    </font>
    <font>
      <sz val="11"/>
      <color theme="3"/>
      <name val="Calibri"/>
      <family val="2"/>
      <scheme val="minor"/>
    </font>
    <font>
      <b/>
      <sz val="11"/>
      <color theme="1"/>
      <name val="Calibri"/>
      <family val="2"/>
      <scheme val="minor"/>
    </font>
    <font>
      <i/>
      <sz val="11"/>
      <color theme="1"/>
      <name val="Calibri"/>
      <family val="2"/>
      <scheme val="minor"/>
    </font>
    <font>
      <sz val="8"/>
      <color theme="1"/>
      <name val="Calibri"/>
      <family val="2"/>
      <scheme val="minor"/>
    </font>
    <font>
      <b/>
      <sz val="10"/>
      <name val="MS Sans Serif"/>
      <family val="2"/>
    </font>
    <font>
      <sz val="10"/>
      <name val="Arial Narrow"/>
      <family val="2"/>
    </font>
    <font>
      <sz val="12"/>
      <color indexed="8"/>
      <name val="Times New Roman"/>
      <family val="1"/>
    </font>
    <font>
      <sz val="10"/>
      <name val="Courier"/>
      <family val="3"/>
    </font>
    <font>
      <b/>
      <sz val="22"/>
      <color indexed="18"/>
      <name val="Arial"/>
      <family val="2"/>
    </font>
    <font>
      <sz val="10"/>
      <name val="Times New Roman"/>
      <family val="1"/>
    </font>
    <font>
      <sz val="10"/>
      <name val="Univers Condensed"/>
      <family val="2"/>
    </font>
    <font>
      <b/>
      <sz val="10"/>
      <color indexed="18"/>
      <name val="Times New Roman"/>
      <family val="1"/>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b/>
      <sz val="10"/>
      <name val="Arial"/>
      <family val="2"/>
    </font>
    <font>
      <b/>
      <sz val="9"/>
      <name val="Arial"/>
      <family val="2"/>
    </font>
    <font>
      <sz val="9"/>
      <name val="AGaramond"/>
    </font>
    <font>
      <b/>
      <sz val="10"/>
      <color indexed="39"/>
      <name val="Arial"/>
      <family val="2"/>
    </font>
    <font>
      <sz val="12"/>
      <name val="Arial"/>
      <family val="2"/>
    </font>
    <font>
      <sz val="8"/>
      <color indexed="12"/>
      <name val="Helv"/>
    </font>
    <font>
      <sz val="10"/>
      <name val="Geneva"/>
      <family val="2"/>
    </font>
    <font>
      <b/>
      <sz val="12"/>
      <color indexed="55"/>
      <name val="Arial"/>
      <family val="2"/>
    </font>
    <font>
      <sz val="10"/>
      <color indexed="54"/>
      <name val="Arial Narrow"/>
      <family val="2"/>
    </font>
    <font>
      <sz val="10"/>
      <color indexed="8"/>
      <name val="Times New Roman"/>
      <family val="1"/>
    </font>
    <font>
      <sz val="10"/>
      <color indexed="12"/>
      <name val="Arial Narrow"/>
      <family val="2"/>
    </font>
    <font>
      <sz val="10"/>
      <color indexed="12"/>
      <name val="Times New Roman"/>
      <family val="1"/>
    </font>
    <font>
      <sz val="8"/>
      <name val="Times New Roman"/>
      <family val="1"/>
    </font>
    <font>
      <sz val="8"/>
      <name val="Wingdings"/>
      <charset val="2"/>
    </font>
    <font>
      <u/>
      <sz val="9"/>
      <name val="Times New Roman"/>
      <family val="1"/>
    </font>
    <font>
      <sz val="10"/>
      <color indexed="8"/>
      <name val="Arial"/>
      <family val="2"/>
    </font>
    <font>
      <b/>
      <sz val="10"/>
      <name val="Arial Narrow"/>
      <family val="2"/>
    </font>
    <font>
      <b/>
      <sz val="12"/>
      <name val="Arial"/>
      <family val="2"/>
    </font>
    <font>
      <b/>
      <u val="singleAccounting"/>
      <sz val="8"/>
      <name val="Arial"/>
      <family val="2"/>
    </font>
    <font>
      <b/>
      <u val="singleAccounting"/>
      <sz val="8"/>
      <color indexed="8"/>
      <name val="Arial"/>
      <family val="2"/>
    </font>
    <font>
      <sz val="14"/>
      <name val="Terminal"/>
      <family val="3"/>
    </font>
    <font>
      <sz val="10"/>
      <color indexed="9"/>
      <name val="Times"/>
      <family val="1"/>
    </font>
    <font>
      <sz val="10"/>
      <name val="MS Sans Serif"/>
      <family val="2"/>
    </font>
    <font>
      <sz val="11"/>
      <color indexed="8"/>
      <name val="Calibri"/>
      <family val="2"/>
    </font>
    <font>
      <sz val="10"/>
      <color theme="1"/>
      <name val="Arial"/>
      <family val="2"/>
    </font>
    <font>
      <sz val="9"/>
      <name val="Arial Narrow"/>
      <family val="2"/>
    </font>
    <font>
      <sz val="12"/>
      <color indexed="24"/>
      <name val="Arial"/>
      <family val="2"/>
    </font>
    <font>
      <sz val="7"/>
      <name val="Arial"/>
      <family val="2"/>
    </font>
    <font>
      <b/>
      <sz val="12"/>
      <name val="Times New Roman"/>
      <family val="1"/>
    </font>
    <font>
      <sz val="8"/>
      <name val="Palatino"/>
      <family val="1"/>
    </font>
    <font>
      <i/>
      <sz val="10"/>
      <name val="Arial Narrow"/>
      <family val="2"/>
    </font>
    <font>
      <sz val="12"/>
      <name val="TimesNewRomanPS"/>
    </font>
    <font>
      <sz val="10"/>
      <name val="Palatino"/>
      <family val="1"/>
    </font>
    <font>
      <u val="doubleAccounting"/>
      <sz val="10"/>
      <name val="Arial"/>
      <family val="2"/>
    </font>
    <font>
      <sz val="5"/>
      <name val="Arial"/>
      <family val="2"/>
    </font>
    <font>
      <sz val="8"/>
      <color indexed="10"/>
      <name val="Arial"/>
      <family val="2"/>
    </font>
    <font>
      <sz val="9"/>
      <name val="GillSans"/>
      <family val="2"/>
    </font>
    <font>
      <sz val="9"/>
      <name val="GillSans Light"/>
      <family val="2"/>
    </font>
    <font>
      <b/>
      <sz val="8"/>
      <name val="Arial"/>
      <family val="2"/>
    </font>
    <font>
      <sz val="8"/>
      <color indexed="23"/>
      <name val="Arial"/>
      <family val="2"/>
    </font>
    <font>
      <b/>
      <sz val="8"/>
      <color indexed="8"/>
      <name val="Arial"/>
      <family val="2"/>
    </font>
    <font>
      <sz val="18"/>
      <color indexed="24"/>
      <name val="Arial"/>
      <family val="2"/>
    </font>
    <font>
      <sz val="8"/>
      <color indexed="24"/>
      <name val="Arial"/>
      <family val="2"/>
    </font>
    <font>
      <i/>
      <sz val="14"/>
      <name val="Palatino"/>
      <family val="1"/>
    </font>
    <font>
      <b/>
      <sz val="10"/>
      <color indexed="12"/>
      <name val="Arial"/>
      <family val="2"/>
    </font>
    <font>
      <b/>
      <i/>
      <sz val="22"/>
      <name val="Times New Roman"/>
      <family val="1"/>
    </font>
    <font>
      <sz val="1"/>
      <color indexed="9"/>
      <name val="Symbol"/>
      <family val="1"/>
    </font>
    <font>
      <sz val="8"/>
      <color indexed="12"/>
      <name val="CG Times (W1)"/>
      <family val="1"/>
    </font>
    <font>
      <sz val="8"/>
      <color indexed="8"/>
      <name val="Helv"/>
    </font>
    <font>
      <sz val="26"/>
      <name val="Arial"/>
      <family val="2"/>
    </font>
    <font>
      <sz val="48"/>
      <name val="Arial"/>
      <family val="2"/>
    </font>
    <font>
      <b/>
      <sz val="100"/>
      <name val="Arial"/>
      <family val="2"/>
    </font>
    <font>
      <sz val="10"/>
      <color indexed="20"/>
      <name val="Times New Roman"/>
      <family val="1"/>
    </font>
    <font>
      <sz val="12"/>
      <color indexed="14"/>
      <name val="Arial"/>
      <family val="2"/>
    </font>
    <font>
      <b/>
      <u val="singleAccounting"/>
      <sz val="8"/>
      <color indexed="8"/>
      <name val="Verdana"/>
      <family val="2"/>
    </font>
    <font>
      <b/>
      <sz val="10"/>
      <color indexed="9"/>
      <name val="Arial"/>
      <family val="2"/>
    </font>
    <font>
      <b/>
      <sz val="12"/>
      <color indexed="8"/>
      <name val="Verdana"/>
      <family val="2"/>
    </font>
    <font>
      <sz val="7"/>
      <name val="Small Fonts"/>
      <family val="3"/>
    </font>
    <font>
      <b/>
      <i/>
      <sz val="16"/>
      <name val="Helv"/>
    </font>
    <font>
      <sz val="9"/>
      <name val="Arial"/>
      <family val="2"/>
    </font>
    <font>
      <sz val="9"/>
      <color theme="1"/>
      <name val="Arial Narrow"/>
      <family val="2"/>
    </font>
    <font>
      <i/>
      <sz val="10"/>
      <name val="Arial"/>
      <family val="2"/>
    </font>
    <font>
      <i/>
      <sz val="10"/>
      <name val="Helv"/>
      <family val="2"/>
    </font>
    <font>
      <b/>
      <sz val="10"/>
      <color indexed="12"/>
      <name val="Arial Narrow"/>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26"/>
      <name val="Times New Roman"/>
      <family val="1"/>
    </font>
    <font>
      <b/>
      <sz val="18"/>
      <name val="Times New Roman"/>
      <family val="1"/>
    </font>
    <font>
      <sz val="10"/>
      <color indexed="16"/>
      <name val="Helvetica-Black"/>
    </font>
    <font>
      <sz val="10"/>
      <color indexed="10"/>
      <name val="Arial Narrow"/>
      <family val="2"/>
    </font>
    <font>
      <sz val="10"/>
      <color indexed="10"/>
      <name val="MS Sans Serif"/>
      <family val="2"/>
    </font>
    <font>
      <b/>
      <sz val="8"/>
      <color indexed="9"/>
      <name val="Verdana"/>
      <family val="2"/>
    </font>
    <font>
      <sz val="12"/>
      <name val="Osaka"/>
    </font>
    <font>
      <b/>
      <sz val="24"/>
      <name val="Arial"/>
      <family val="2"/>
    </font>
    <font>
      <b/>
      <sz val="18"/>
      <name val="Arial"/>
      <family val="2"/>
    </font>
    <font>
      <b/>
      <sz val="14"/>
      <name val="Arial"/>
      <family val="2"/>
    </font>
    <font>
      <b/>
      <sz val="14"/>
      <color indexed="9"/>
      <name val="Arial"/>
      <family val="2"/>
    </font>
    <font>
      <u val="singleAccounting"/>
      <sz val="10"/>
      <name val="Arial"/>
      <family val="2"/>
    </font>
    <font>
      <b/>
      <sz val="13"/>
      <color indexed="8"/>
      <name val="Verdana"/>
      <family val="2"/>
    </font>
    <font>
      <sz val="8"/>
      <color indexed="8"/>
      <name val="Arial"/>
      <family val="2"/>
    </font>
    <font>
      <i/>
      <sz val="8"/>
      <color indexed="8"/>
      <name val="Arial"/>
      <family val="2"/>
    </font>
    <font>
      <sz val="2"/>
      <color indexed="9"/>
      <name val="Symbol"/>
      <family val="1"/>
    </font>
    <font>
      <vertAlign val="subscript"/>
      <sz val="8"/>
      <color indexed="8"/>
      <name val="Arial"/>
      <family val="2"/>
    </font>
    <font>
      <vertAlign val="superscript"/>
      <sz val="8"/>
      <color indexed="8"/>
      <name val="Arial"/>
      <family val="2"/>
    </font>
    <font>
      <b/>
      <sz val="9"/>
      <name val="Palatino"/>
      <family val="1"/>
    </font>
    <font>
      <sz val="9"/>
      <color indexed="21"/>
      <name val="Helvetica-Black"/>
    </font>
    <font>
      <sz val="9"/>
      <name val="Helvetica-Black"/>
    </font>
    <font>
      <sz val="7"/>
      <name val="Palatino"/>
      <family val="1"/>
    </font>
    <font>
      <sz val="12"/>
      <color indexed="12"/>
      <name val="Arial MT"/>
    </font>
    <font>
      <sz val="12"/>
      <name val="Times New Roman"/>
      <family val="1"/>
    </font>
    <font>
      <b/>
      <sz val="8"/>
      <color indexed="60"/>
      <name val="Arial"/>
      <family val="2"/>
    </font>
    <font>
      <sz val="8"/>
      <name val="Helv"/>
    </font>
    <font>
      <sz val="10"/>
      <color indexed="62"/>
      <name val="Arial"/>
      <family val="2"/>
    </font>
    <font>
      <sz val="12"/>
      <color indexed="8"/>
      <name val="Times"/>
      <family val="1"/>
    </font>
    <font>
      <sz val="12"/>
      <name val="Osaka"/>
    </font>
    <font>
      <sz val="11"/>
      <color rgb="FF006400"/>
      <name val="Calibri"/>
      <family val="2"/>
    </font>
    <font>
      <sz val="11"/>
      <color rgb="FF00008B"/>
      <name val="Calibri"/>
      <family val="2"/>
      <scheme val="minor"/>
    </font>
    <font>
      <sz val="11"/>
      <color rgb="FFFF8C00"/>
      <name val="Calibri"/>
      <family val="2"/>
      <scheme val="minor"/>
    </font>
    <font>
      <i/>
      <sz val="11"/>
      <color rgb="FFA9A9A9"/>
      <name val="Calibri"/>
      <family val="2"/>
      <scheme val="minor"/>
    </font>
    <font>
      <sz val="11"/>
      <color rgb="FF006400"/>
      <name val="Calibri"/>
      <family val="2"/>
      <scheme val="minor"/>
    </font>
    <font>
      <sz val="11"/>
      <color rgb="FF000000"/>
      <name val="Calibri"/>
      <family val="2"/>
      <scheme val="minor"/>
    </font>
    <font>
      <sz val="11"/>
      <color theme="1"/>
      <name val="Calibri"/>
      <family val="2"/>
    </font>
    <font>
      <b/>
      <sz val="11"/>
      <name val="Calibri"/>
      <family val="2"/>
    </font>
    <font>
      <sz val="11"/>
      <name val="Calibri"/>
      <family val="2"/>
    </font>
    <font>
      <sz val="11"/>
      <color theme="3"/>
      <name val="Calibri"/>
      <family val="2"/>
    </font>
    <font>
      <sz val="11"/>
      <color rgb="FF006400" tint="-0.249977111117893"/>
      <name val="Calibri"/>
      <family val="2"/>
    </font>
    <font>
      <i/>
      <sz val="11"/>
      <color theme="1"/>
      <name val="Calibri"/>
      <family val="2"/>
    </font>
    <font>
      <b/>
      <sz val="11"/>
      <color theme="1"/>
      <name val="Calibri"/>
      <family val="2"/>
    </font>
    <font>
      <sz val="11"/>
      <color rgb="FF000000"/>
      <name val="Calibri"/>
      <family val="2"/>
    </font>
    <font>
      <i/>
      <sz val="11"/>
      <color rgb="FFA9A9A9"/>
      <name val="Calibri"/>
      <family val="2"/>
    </font>
    <font>
      <sz val="11"/>
      <color theme="5"/>
      <name val="Calibri"/>
      <family val="2"/>
      <scheme val="minor"/>
    </font>
    <font>
      <sz val="11"/>
      <color rgb="FF9900CC"/>
      <name val="Calibri"/>
      <family val="2"/>
      <scheme val="minor"/>
    </font>
    <font>
      <sz val="11"/>
      <color rgb="FF0000FF"/>
      <name val="Calibri"/>
      <family val="2"/>
      <scheme val="minor"/>
    </font>
    <font>
      <sz val="11"/>
      <color rgb="FF008000"/>
      <name val="Calibri"/>
      <family val="2"/>
      <scheme val="minor"/>
    </font>
    <font>
      <sz val="11"/>
      <color rgb="FF0000FF"/>
      <name val="Calibri"/>
      <family val="2"/>
    </font>
    <font>
      <sz val="11"/>
      <color rgb="FF008000"/>
      <name val="Calibri"/>
      <family val="2"/>
    </font>
    <font>
      <b/>
      <sz val="9"/>
      <color indexed="81"/>
      <name val="Tahoma"/>
      <family val="2"/>
    </font>
    <font>
      <sz val="9"/>
      <color indexed="81"/>
      <name val="Tahoma"/>
      <family val="2"/>
    </font>
  </fonts>
  <fills count="25">
    <fill>
      <patternFill patternType="none"/>
    </fill>
    <fill>
      <patternFill patternType="gray125"/>
    </fill>
    <fill>
      <patternFill patternType="solid">
        <fgColor indexed="9"/>
        <bgColor indexed="64"/>
      </patternFill>
    </fill>
    <fill>
      <patternFill patternType="solid">
        <fgColor indexed="43"/>
      </patternFill>
    </fill>
    <fill>
      <patternFill patternType="solid">
        <fgColor indexed="22"/>
        <bgColor indexed="64"/>
      </patternFill>
    </fill>
    <fill>
      <patternFill patternType="solid">
        <fgColor indexed="22"/>
      </patternFill>
    </fill>
    <fill>
      <patternFill patternType="lightGray">
        <fgColor indexed="15"/>
      </patternFill>
    </fill>
    <fill>
      <patternFill patternType="solid">
        <fgColor indexed="60"/>
        <bgColor indexed="64"/>
      </patternFill>
    </fill>
    <fill>
      <patternFill patternType="solid">
        <fgColor indexed="10"/>
        <bgColor indexed="64"/>
      </patternFill>
    </fill>
    <fill>
      <patternFill patternType="solid">
        <fgColor indexed="26"/>
        <bgColor indexed="64"/>
      </patternFill>
    </fill>
    <fill>
      <patternFill patternType="solid">
        <fgColor indexed="43"/>
        <bgColor indexed="64"/>
      </patternFill>
    </fill>
    <fill>
      <patternFill patternType="solid">
        <fgColor indexed="62"/>
        <bgColor indexed="64"/>
      </patternFill>
    </fill>
    <fill>
      <patternFill patternType="solid">
        <fgColor indexed="63"/>
        <bgColor indexed="64"/>
      </patternFill>
    </fill>
    <fill>
      <patternFill patternType="solid">
        <fgColor indexed="13"/>
        <bgColor indexed="64"/>
      </patternFill>
    </fill>
    <fill>
      <patternFill patternType="solid">
        <fgColor indexed="15"/>
      </patternFill>
    </fill>
    <fill>
      <patternFill patternType="mediumGray">
        <fgColor indexed="22"/>
      </patternFill>
    </fill>
    <fill>
      <patternFill patternType="solid">
        <fgColor indexed="56"/>
        <bgColor indexed="64"/>
      </patternFill>
    </fill>
    <fill>
      <patternFill patternType="solid">
        <fgColor indexed="18"/>
        <bgColor indexed="64"/>
      </patternFill>
    </fill>
    <fill>
      <patternFill patternType="solid">
        <fgColor indexed="16"/>
        <bgColor indexed="64"/>
      </patternFill>
    </fill>
    <fill>
      <patternFill patternType="solid">
        <fgColor indexed="8"/>
        <bgColor indexed="64"/>
      </patternFill>
    </fill>
    <fill>
      <patternFill patternType="solid">
        <fgColor rgb="FF9900CC"/>
        <bgColor indexed="64"/>
      </patternFill>
    </fill>
    <fill>
      <patternFill patternType="solid">
        <fgColor rgb="FF0000FF"/>
        <bgColor indexed="64"/>
      </patternFill>
    </fill>
    <fill>
      <patternFill patternType="solid">
        <fgColor rgb="FF008000"/>
        <bgColor indexed="64"/>
      </patternFill>
    </fill>
    <fill>
      <patternFill patternType="solid">
        <fgColor theme="1"/>
        <bgColor indexed="64"/>
      </patternFill>
    </fill>
    <fill>
      <patternFill patternType="solid">
        <fgColor rgb="FFFFFFCC"/>
        <bgColor indexed="64"/>
      </patternFill>
    </fill>
  </fills>
  <borders count="63">
    <border>
      <left/>
      <right/>
      <top/>
      <bottom/>
      <diagonal/>
    </border>
    <border>
      <left/>
      <right/>
      <top/>
      <bottom style="thin">
        <color theme="3"/>
      </bottom>
      <diagonal/>
    </border>
    <border>
      <left/>
      <right/>
      <top/>
      <bottom style="thin">
        <color indexed="64"/>
      </bottom>
      <diagonal/>
    </border>
    <border>
      <left/>
      <right style="medium">
        <color theme="0"/>
      </right>
      <top style="thin">
        <color theme="3"/>
      </top>
      <bottom/>
      <diagonal/>
    </border>
    <border>
      <left style="thick">
        <color theme="0"/>
      </left>
      <right style="thick">
        <color theme="0"/>
      </right>
      <top/>
      <bottom style="thin">
        <color theme="1" tint="0.499984740745262"/>
      </bottom>
      <diagonal/>
    </border>
    <border>
      <left style="thin">
        <color indexed="64"/>
      </left>
      <right style="thin">
        <color indexed="64"/>
      </right>
      <top style="thin">
        <color indexed="64"/>
      </top>
      <bottom style="thin">
        <color indexed="64"/>
      </bottom>
      <diagonal/>
    </border>
    <border>
      <left/>
      <right/>
      <top/>
      <bottom style="medium">
        <color theme="4" tint="-0.499984740745262"/>
      </bottom>
      <diagonal/>
    </border>
    <border>
      <left style="medium">
        <color theme="0"/>
      </left>
      <right style="medium">
        <color theme="0"/>
      </right>
      <top/>
      <bottom style="thin">
        <color theme="1" tint="0.499984740745262"/>
      </bottom>
      <diagonal/>
    </border>
    <border>
      <left style="medium">
        <color theme="0"/>
      </left>
      <right/>
      <top/>
      <bottom style="thin">
        <color theme="1" tint="0.499984740745262"/>
      </bottom>
      <diagonal/>
    </border>
    <border>
      <left style="medium">
        <color theme="4" tint="0.79998168889431442"/>
      </left>
      <right/>
      <top style="thin">
        <color theme="1" tint="0.499984740745262"/>
      </top>
      <bottom style="double">
        <color theme="1" tint="0.499984740745262"/>
      </bottom>
      <diagonal/>
    </border>
    <border>
      <left/>
      <right style="medium">
        <color theme="4" tint="0.79998168889431442"/>
      </right>
      <top style="thin">
        <color theme="1" tint="0.499984740745262"/>
      </top>
      <bottom style="double">
        <color theme="1" tint="0.499984740745262"/>
      </bottom>
      <diagonal/>
    </border>
    <border>
      <left style="thin">
        <color indexed="64"/>
      </left>
      <right style="thin">
        <color indexed="64"/>
      </right>
      <top/>
      <bottom/>
      <diagonal/>
    </border>
    <border>
      <left/>
      <right/>
      <top/>
      <bottom style="thin">
        <color indexed="18"/>
      </bottom>
      <diagonal/>
    </border>
    <border>
      <left/>
      <right/>
      <top style="hair">
        <color indexed="8"/>
      </top>
      <bottom style="hair">
        <color indexed="8"/>
      </bottom>
      <diagonal/>
    </border>
    <border>
      <left/>
      <right/>
      <top/>
      <bottom style="medium">
        <color indexed="18"/>
      </bottom>
      <diagonal/>
    </border>
    <border>
      <left style="medium">
        <color indexed="64"/>
      </left>
      <right style="medium">
        <color indexed="64"/>
      </right>
      <top/>
      <bottom/>
      <diagonal/>
    </border>
    <border>
      <left style="medium">
        <color indexed="64"/>
      </left>
      <right style="medium">
        <color indexed="64"/>
      </right>
      <top/>
      <bottom style="thick">
        <color indexed="37"/>
      </bottom>
      <diagonal/>
    </border>
    <border>
      <left/>
      <right/>
      <top style="thin">
        <color indexed="64"/>
      </top>
      <bottom style="thin">
        <color indexed="64"/>
      </bottom>
      <diagonal/>
    </border>
    <border>
      <left/>
      <right/>
      <top/>
      <bottom style="medium">
        <color indexed="64"/>
      </bottom>
      <diagonal/>
    </border>
    <border>
      <left/>
      <right/>
      <top/>
      <bottom style="thin">
        <color indexed="22"/>
      </bottom>
      <diagonal/>
    </border>
    <border>
      <left/>
      <right/>
      <top/>
      <bottom style="thin">
        <color indexed="12"/>
      </bottom>
      <diagonal/>
    </border>
    <border>
      <left/>
      <right/>
      <top/>
      <bottom style="dotted">
        <color indexed="64"/>
      </bottom>
      <diagonal/>
    </border>
    <border>
      <left/>
      <right/>
      <top style="medium">
        <color indexed="64"/>
      </top>
      <bottom style="medium">
        <color indexed="64"/>
      </bottom>
      <diagonal/>
    </border>
    <border>
      <left/>
      <right/>
      <top/>
      <bottom style="thick">
        <color indexed="64"/>
      </bottom>
      <diagonal/>
    </border>
    <border>
      <left style="thin">
        <color indexed="64"/>
      </left>
      <right/>
      <top/>
      <bottom/>
      <diagonal/>
    </border>
    <border>
      <left/>
      <right style="thin">
        <color indexed="64"/>
      </right>
      <top/>
      <bottom/>
      <diagonal/>
    </border>
    <border>
      <left/>
      <right/>
      <top style="double">
        <color indexed="64"/>
      </top>
      <bottom/>
      <diagonal/>
    </border>
    <border>
      <left/>
      <right/>
      <top style="thin">
        <color theme="3"/>
      </top>
      <bottom/>
      <diagonal/>
    </border>
    <border>
      <left/>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rgb="FF00008B"/>
      </bottom>
      <diagonal/>
    </border>
    <border>
      <left style="thick">
        <color rgb="FFFFFFFF"/>
      </left>
      <right style="thick">
        <color rgb="FFFFFFFF"/>
      </right>
      <top/>
      <bottom style="thin">
        <color rgb="FFA9A9A9"/>
      </bottom>
      <diagonal/>
    </border>
    <border>
      <left/>
      <right/>
      <top style="thin">
        <color auto="1"/>
      </top>
      <bottom/>
      <diagonal/>
    </border>
    <border>
      <left/>
      <right/>
      <top style="thin">
        <color rgb="FFA9A9A9"/>
      </top>
      <bottom/>
      <diagonal/>
    </border>
    <border>
      <left style="thin">
        <color rgb="FFFFFFFF"/>
      </left>
      <right style="thick">
        <color rgb="FFFFFFFF"/>
      </right>
      <top/>
      <bottom style="thin">
        <color rgb="FFA9A9A9"/>
      </bottom>
      <diagonal/>
    </border>
    <border>
      <left/>
      <right/>
      <top style="thin">
        <color rgb="FFA9A9A9"/>
      </top>
      <bottom style="double">
        <color rgb="FFA9A9A9"/>
      </bottom>
      <diagonal/>
    </border>
    <border>
      <left/>
      <right/>
      <top/>
      <bottom style="thin">
        <color rgb="FFA9A9A9"/>
      </bottom>
      <diagonal/>
    </border>
    <border>
      <left/>
      <right/>
      <top style="thin">
        <color rgb="FFA9A9A9"/>
      </top>
      <bottom style="thin">
        <color rgb="FFA9A9A9"/>
      </bottom>
      <diagonal/>
    </border>
    <border>
      <left/>
      <right/>
      <top style="dotted">
        <color rgb="FFFF0000"/>
      </top>
      <bottom/>
      <diagonal/>
    </border>
    <border>
      <left/>
      <right/>
      <top/>
      <bottom style="dotted">
        <color rgb="FFFF0000"/>
      </bottom>
      <diagonal/>
    </border>
    <border>
      <left style="dotted">
        <color rgb="FFFF0000"/>
      </left>
      <right/>
      <top style="dotted">
        <color rgb="FFFF0000"/>
      </top>
      <bottom/>
      <diagonal/>
    </border>
    <border>
      <left style="dotted">
        <color rgb="FFFF0000"/>
      </left>
      <right/>
      <top/>
      <bottom style="dotted">
        <color rgb="FFFF0000"/>
      </bottom>
      <diagonal/>
    </border>
    <border>
      <left/>
      <right style="dotted">
        <color rgb="FFFF0000"/>
      </right>
      <top style="dotted">
        <color rgb="FFFF0000"/>
      </top>
      <bottom/>
      <diagonal/>
    </border>
    <border>
      <left/>
      <right style="dotted">
        <color rgb="FFFF0000"/>
      </right>
      <top/>
      <bottom style="dotted">
        <color rgb="FFFF0000"/>
      </bottom>
      <diagonal/>
    </border>
    <border>
      <left style="dashed">
        <color rgb="FFA9A9A9"/>
      </left>
      <right/>
      <top/>
      <bottom/>
      <diagonal/>
    </border>
    <border>
      <left/>
      <right style="dashed">
        <color rgb="FFA9A9A9"/>
      </right>
      <top/>
      <bottom/>
      <diagonal/>
    </border>
    <border>
      <left/>
      <right style="dashed">
        <color rgb="FFA9A9A9"/>
      </right>
      <top style="thin">
        <color rgb="FFA9A9A9"/>
      </top>
      <bottom/>
      <diagonal/>
    </border>
    <border>
      <left style="dashed">
        <color rgb="FFA9A9A9"/>
      </left>
      <right/>
      <top style="dashed">
        <color rgb="FFA9A9A9"/>
      </top>
      <bottom style="thin">
        <color theme="3"/>
      </bottom>
      <diagonal/>
    </border>
    <border>
      <left style="dashed">
        <color rgb="FFA9A9A9"/>
      </left>
      <right/>
      <top/>
      <bottom style="dashed">
        <color rgb="FFA9A9A9"/>
      </bottom>
      <diagonal/>
    </border>
    <border>
      <left/>
      <right/>
      <top style="dashed">
        <color rgb="FFA9A9A9"/>
      </top>
      <bottom style="thin">
        <color theme="3"/>
      </bottom>
      <diagonal/>
    </border>
    <border>
      <left/>
      <right/>
      <top/>
      <bottom style="dashed">
        <color rgb="FFA9A9A9"/>
      </bottom>
      <diagonal/>
    </border>
    <border>
      <left/>
      <right/>
      <top style="dashed">
        <color rgb="FFA9A9A9"/>
      </top>
      <bottom/>
      <diagonal/>
    </border>
    <border>
      <left/>
      <right style="dashed">
        <color rgb="FFA9A9A9"/>
      </right>
      <top style="dashed">
        <color rgb="FFA9A9A9"/>
      </top>
      <bottom style="thin">
        <color theme="3"/>
      </bottom>
      <diagonal/>
    </border>
    <border>
      <left/>
      <right style="dashed">
        <color rgb="FFA9A9A9"/>
      </right>
      <top/>
      <bottom style="dashed">
        <color rgb="FFA9A9A9"/>
      </bottom>
      <diagonal/>
    </border>
    <border>
      <left style="thin">
        <color rgb="FFA9A9A9"/>
      </left>
      <right style="thin">
        <color rgb="FFA9A9A9"/>
      </right>
      <top style="thin">
        <color rgb="FFA9A9A9"/>
      </top>
      <bottom style="thin">
        <color rgb="FFA9A9A9"/>
      </bottom>
      <diagonal/>
    </border>
    <border>
      <left style="thin">
        <color theme="3"/>
      </left>
      <right style="thin">
        <color theme="3"/>
      </right>
      <top style="thin">
        <color theme="3"/>
      </top>
      <bottom style="thin">
        <color theme="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indexed="64"/>
      </left>
      <right/>
      <top/>
      <bottom style="thin">
        <color indexed="64"/>
      </bottom>
      <diagonal/>
    </border>
    <border>
      <left/>
      <right style="thin">
        <color indexed="64"/>
      </right>
      <top/>
      <bottom style="thin">
        <color indexed="64"/>
      </bottom>
      <diagonal/>
    </border>
  </borders>
  <cellStyleXfs count="381">
    <xf numFmtId="0" fontId="0" fillId="0" borderId="0"/>
    <xf numFmtId="0" fontId="9" fillId="0" borderId="0"/>
    <xf numFmtId="171" fontId="10" fillId="0" borderId="0"/>
    <xf numFmtId="172" fontId="10" fillId="0" borderId="0"/>
    <xf numFmtId="173" fontId="10" fillId="0" borderId="0"/>
    <xf numFmtId="174" fontId="10" fillId="0" borderId="0"/>
    <xf numFmtId="175" fontId="2" fillId="0" borderId="0"/>
    <xf numFmtId="0" fontId="4" fillId="0" borderId="0"/>
    <xf numFmtId="176" fontId="10" fillId="0" borderId="0"/>
    <xf numFmtId="177" fontId="10" fillId="0" borderId="0"/>
    <xf numFmtId="8" fontId="10" fillId="2" borderId="0"/>
    <xf numFmtId="178" fontId="11" fillId="0" borderId="11">
      <alignment horizontal="right"/>
    </xf>
    <xf numFmtId="179" fontId="4" fillId="0" borderId="0">
      <alignment horizontal="right"/>
    </xf>
    <xf numFmtId="180" fontId="2" fillId="0" borderId="0"/>
    <xf numFmtId="0" fontId="2" fillId="0" borderId="0"/>
    <xf numFmtId="181" fontId="2" fillId="0" borderId="0"/>
    <xf numFmtId="0" fontId="2" fillId="0" borderId="0"/>
    <xf numFmtId="0" fontId="12" fillId="0" borderId="0">
      <alignment vertical="center"/>
    </xf>
    <xf numFmtId="0" fontId="12" fillId="0" borderId="0">
      <alignment vertical="center"/>
    </xf>
    <xf numFmtId="0" fontId="12" fillId="0" borderId="0">
      <alignment vertical="center"/>
    </xf>
    <xf numFmtId="171" fontId="2" fillId="0" borderId="0"/>
    <xf numFmtId="0" fontId="2" fillId="0" borderId="0"/>
    <xf numFmtId="182" fontId="2" fillId="0" borderId="0"/>
    <xf numFmtId="0" fontId="2" fillId="0" borderId="0"/>
    <xf numFmtId="183" fontId="2" fillId="0" borderId="0"/>
    <xf numFmtId="184" fontId="2" fillId="0" borderId="0"/>
    <xf numFmtId="39" fontId="2" fillId="0" borderId="0"/>
    <xf numFmtId="0" fontId="2" fillId="0" borderId="0"/>
    <xf numFmtId="185" fontId="2" fillId="0" borderId="0"/>
    <xf numFmtId="186" fontId="2" fillId="0" borderId="0"/>
    <xf numFmtId="0" fontId="2" fillId="0" borderId="0"/>
    <xf numFmtId="0" fontId="13" fillId="0" borderId="0"/>
    <xf numFmtId="0" fontId="13" fillId="0" borderId="0"/>
    <xf numFmtId="0" fontId="2" fillId="3" borderId="0"/>
    <xf numFmtId="170" fontId="14" fillId="0" borderId="0"/>
    <xf numFmtId="0" fontId="2" fillId="0" borderId="0"/>
    <xf numFmtId="187" fontId="2" fillId="0" borderId="0"/>
    <xf numFmtId="188" fontId="2" fillId="0" borderId="0">
      <alignment horizontal="right"/>
    </xf>
    <xf numFmtId="189" fontId="2" fillId="0" borderId="0"/>
    <xf numFmtId="190" fontId="14" fillId="0" borderId="0"/>
    <xf numFmtId="0" fontId="15" fillId="0" borderId="0">
      <alignment vertical="top"/>
    </xf>
    <xf numFmtId="0" fontId="16" fillId="0" borderId="0"/>
    <xf numFmtId="0" fontId="17" fillId="0" borderId="0">
      <alignment vertical="top"/>
    </xf>
    <xf numFmtId="0" fontId="17" fillId="0" borderId="0">
      <alignment vertical="top"/>
    </xf>
    <xf numFmtId="0" fontId="16" fillId="0" borderId="12">
      <alignment horizontal="centerContinuous"/>
    </xf>
    <xf numFmtId="0" fontId="18" fillId="0" borderId="13"/>
    <xf numFmtId="0" fontId="18" fillId="0" borderId="13"/>
    <xf numFmtId="0" fontId="19" fillId="0" borderId="14">
      <alignment horizontal="center"/>
    </xf>
    <xf numFmtId="0" fontId="19" fillId="0" borderId="14">
      <alignment horizontal="center"/>
    </xf>
    <xf numFmtId="0" fontId="19" fillId="0" borderId="0">
      <alignment horizontal="left"/>
    </xf>
    <xf numFmtId="0" fontId="19" fillId="0" borderId="0">
      <alignment horizontal="left"/>
    </xf>
    <xf numFmtId="0" fontId="20" fillId="0" borderId="0">
      <alignment horizontal="centerContinuous"/>
    </xf>
    <xf numFmtId="0" fontId="20" fillId="0" borderId="0">
      <alignment horizontal="centerContinuous"/>
    </xf>
    <xf numFmtId="191" fontId="2" fillId="0" borderId="0"/>
    <xf numFmtId="192" fontId="2" fillId="0" borderId="0"/>
    <xf numFmtId="193" fontId="2" fillId="2" borderId="0"/>
    <xf numFmtId="0" fontId="2" fillId="0" borderId="0"/>
    <xf numFmtId="37" fontId="21" fillId="0" borderId="0"/>
    <xf numFmtId="168" fontId="2" fillId="0" borderId="15"/>
    <xf numFmtId="0" fontId="22" fillId="4" borderId="16">
      <alignment horizontal="center"/>
    </xf>
    <xf numFmtId="43" fontId="2" fillId="0" borderId="0">
      <alignment vertical="top"/>
    </xf>
    <xf numFmtId="41" fontId="2" fillId="0" borderId="0"/>
    <xf numFmtId="189" fontId="2" fillId="0" borderId="17"/>
    <xf numFmtId="41" fontId="2" fillId="0" borderId="0">
      <alignment vertical="top"/>
    </xf>
    <xf numFmtId="0" fontId="2" fillId="0" borderId="0">
      <protection locked="0"/>
    </xf>
    <xf numFmtId="0" fontId="23" fillId="0" borderId="0"/>
    <xf numFmtId="0" fontId="24" fillId="0" borderId="0"/>
    <xf numFmtId="0" fontId="2" fillId="0" borderId="0"/>
    <xf numFmtId="0" fontId="25" fillId="0" borderId="0"/>
    <xf numFmtId="0" fontId="26" fillId="0" borderId="11">
      <protection hidden="1"/>
    </xf>
    <xf numFmtId="0" fontId="27" fillId="5" borderId="11">
      <protection hidden="1"/>
    </xf>
    <xf numFmtId="37" fontId="28" fillId="0" borderId="0"/>
    <xf numFmtId="168" fontId="29" fillId="0" borderId="0"/>
    <xf numFmtId="189" fontId="2" fillId="0" borderId="0">
      <alignment horizontal="center"/>
    </xf>
    <xf numFmtId="189" fontId="2" fillId="0" borderId="0">
      <alignment horizontal="center"/>
    </xf>
    <xf numFmtId="189" fontId="2" fillId="0" borderId="0">
      <alignment horizontal="center"/>
    </xf>
    <xf numFmtId="189" fontId="2" fillId="0" borderId="0">
      <alignment horizontal="center"/>
    </xf>
    <xf numFmtId="194" fontId="14" fillId="0" borderId="0"/>
    <xf numFmtId="195" fontId="30" fillId="0" borderId="0"/>
    <xf numFmtId="196" fontId="14" fillId="0" borderId="0"/>
    <xf numFmtId="197" fontId="14" fillId="0" borderId="0"/>
    <xf numFmtId="198" fontId="31" fillId="0" borderId="0">
      <alignment horizontal="right"/>
    </xf>
    <xf numFmtId="7" fontId="32" fillId="0" borderId="0">
      <alignment horizontal="right"/>
      <protection locked="0"/>
    </xf>
    <xf numFmtId="199" fontId="2" fillId="0" borderId="0"/>
    <xf numFmtId="0" fontId="33" fillId="0" borderId="18"/>
    <xf numFmtId="200" fontId="4" fillId="0" borderId="19"/>
    <xf numFmtId="201" fontId="2" fillId="0" borderId="0"/>
    <xf numFmtId="37" fontId="21" fillId="0" borderId="0"/>
    <xf numFmtId="202" fontId="34" fillId="0" borderId="0"/>
    <xf numFmtId="203" fontId="2" fillId="6" borderId="0">
      <protection locked="0"/>
    </xf>
    <xf numFmtId="0" fontId="35" fillId="0" borderId="0">
      <alignment horizontal="center"/>
    </xf>
    <xf numFmtId="0" fontId="36" fillId="0" borderId="0"/>
    <xf numFmtId="0" fontId="37" fillId="0" borderId="0">
      <alignment horizontal="center" wrapText="1"/>
    </xf>
    <xf numFmtId="0" fontId="38" fillId="0" borderId="0">
      <alignment wrapText="1"/>
    </xf>
    <xf numFmtId="0" fontId="39" fillId="0" borderId="0">
      <alignment horizontal="center" wrapText="1"/>
    </xf>
    <xf numFmtId="0" fontId="40" fillId="7"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168" fontId="33" fillId="0" borderId="0"/>
    <xf numFmtId="204" fontId="43" fillId="0" borderId="0"/>
    <xf numFmtId="205" fontId="2" fillId="0" borderId="0"/>
    <xf numFmtId="43" fontId="2" fillId="0" borderId="0"/>
    <xf numFmtId="43" fontId="44" fillId="0" borderId="0"/>
    <xf numFmtId="0" fontId="2" fillId="0" borderId="0"/>
    <xf numFmtId="43" fontId="44" fillId="0" borderId="0"/>
    <xf numFmtId="206" fontId="2" fillId="0" borderId="0"/>
    <xf numFmtId="43" fontId="45" fillId="0" borderId="0"/>
    <xf numFmtId="43" fontId="1" fillId="0" borderId="0"/>
    <xf numFmtId="0" fontId="46" fillId="0" borderId="0"/>
    <xf numFmtId="3" fontId="47" fillId="0" borderId="0"/>
    <xf numFmtId="0" fontId="46" fillId="0" borderId="0"/>
    <xf numFmtId="207" fontId="2" fillId="0" borderId="0"/>
    <xf numFmtId="0" fontId="46" fillId="1" borderId="0">
      <alignment horizontal="right"/>
    </xf>
    <xf numFmtId="5" fontId="48" fillId="0" borderId="0">
      <alignment horizontal="center"/>
    </xf>
    <xf numFmtId="39" fontId="2" fillId="0" borderId="0"/>
    <xf numFmtId="0" fontId="49" fillId="0" borderId="0">
      <alignment horizontal="center" wrapText="1"/>
    </xf>
    <xf numFmtId="208" fontId="50" fillId="0" borderId="0">
      <alignment horizontal="right"/>
    </xf>
    <xf numFmtId="209" fontId="4" fillId="0" borderId="0"/>
    <xf numFmtId="210" fontId="4" fillId="0" borderId="0"/>
    <xf numFmtId="211" fontId="2" fillId="0" borderId="0"/>
    <xf numFmtId="212" fontId="50" fillId="0" borderId="0">
      <alignment horizontal="right"/>
    </xf>
    <xf numFmtId="213" fontId="2" fillId="0" borderId="0"/>
    <xf numFmtId="214" fontId="47" fillId="0" borderId="0"/>
    <xf numFmtId="0" fontId="10" fillId="2" borderId="0"/>
    <xf numFmtId="215" fontId="10" fillId="0" borderId="0"/>
    <xf numFmtId="189" fontId="51" fillId="0" borderId="0"/>
    <xf numFmtId="15" fontId="2" fillId="0" borderId="0"/>
    <xf numFmtId="216" fontId="14" fillId="0" borderId="0"/>
    <xf numFmtId="217" fontId="14" fillId="0" borderId="0"/>
    <xf numFmtId="218" fontId="50" fillId="0" borderId="0"/>
    <xf numFmtId="14" fontId="52" fillId="0" borderId="0"/>
    <xf numFmtId="0" fontId="46" fillId="0" borderId="5">
      <alignment horizontal="right"/>
    </xf>
    <xf numFmtId="15" fontId="53" fillId="0" borderId="0">
      <alignment horizontal="center"/>
    </xf>
    <xf numFmtId="219" fontId="10" fillId="8" borderId="0"/>
    <xf numFmtId="178" fontId="53" fillId="0" borderId="0">
      <alignment horizontal="center"/>
    </xf>
    <xf numFmtId="220" fontId="10" fillId="0" borderId="20"/>
    <xf numFmtId="221" fontId="50" fillId="0" borderId="21"/>
    <xf numFmtId="42" fontId="54" fillId="0" borderId="0"/>
    <xf numFmtId="200" fontId="55" fillId="0" borderId="0"/>
    <xf numFmtId="222" fontId="10" fillId="0" borderId="0"/>
    <xf numFmtId="223" fontId="31" fillId="0" borderId="0"/>
    <xf numFmtId="224" fontId="2" fillId="0" borderId="0"/>
    <xf numFmtId="207" fontId="2" fillId="0" borderId="0"/>
    <xf numFmtId="2" fontId="47" fillId="0" borderId="0"/>
    <xf numFmtId="225" fontId="56" fillId="0" borderId="0"/>
    <xf numFmtId="0" fontId="2" fillId="0" borderId="0"/>
    <xf numFmtId="178" fontId="2" fillId="0" borderId="0"/>
    <xf numFmtId="0" fontId="57" fillId="0" borderId="0"/>
    <xf numFmtId="0" fontId="58" fillId="0" borderId="0"/>
    <xf numFmtId="38" fontId="4" fillId="4" borderId="0"/>
    <xf numFmtId="0" fontId="59" fillId="9" borderId="5"/>
    <xf numFmtId="226" fontId="50" fillId="0" borderId="0">
      <alignment horizontal="right"/>
    </xf>
    <xf numFmtId="0" fontId="60" fillId="0" borderId="0"/>
    <xf numFmtId="0" fontId="61" fillId="0" borderId="0">
      <alignment horizontal="right"/>
    </xf>
    <xf numFmtId="0" fontId="38" fillId="0" borderId="22">
      <alignment horizontal="left" vertical="center"/>
    </xf>
    <xf numFmtId="0" fontId="38" fillId="0" borderId="17">
      <alignment horizontal="left" vertical="center"/>
    </xf>
    <xf numFmtId="0" fontId="62" fillId="0" borderId="0"/>
    <xf numFmtId="0" fontId="62" fillId="0" borderId="0"/>
    <xf numFmtId="0" fontId="63" fillId="0" borderId="0"/>
    <xf numFmtId="0" fontId="63" fillId="0" borderId="0"/>
    <xf numFmtId="0" fontId="64" fillId="0" borderId="0">
      <alignment horizontal="left"/>
    </xf>
    <xf numFmtId="0" fontId="64" fillId="0" borderId="0">
      <alignment horizontal="left"/>
    </xf>
    <xf numFmtId="225" fontId="65" fillId="0" borderId="0"/>
    <xf numFmtId="225" fontId="61" fillId="0" borderId="0"/>
    <xf numFmtId="0" fontId="66" fillId="0" borderId="23">
      <alignment horizontal="left"/>
    </xf>
    <xf numFmtId="227" fontId="2" fillId="0" borderId="0"/>
    <xf numFmtId="44" fontId="21" fillId="10" borderId="5"/>
    <xf numFmtId="10" fontId="4" fillId="9" borderId="5"/>
    <xf numFmtId="0" fontId="60" fillId="2" borderId="0"/>
    <xf numFmtId="0" fontId="60" fillId="2" borderId="0"/>
    <xf numFmtId="0" fontId="67" fillId="0" borderId="0"/>
    <xf numFmtId="168" fontId="10" fillId="0" borderId="24"/>
    <xf numFmtId="0" fontId="68" fillId="0" borderId="24">
      <alignment horizontal="center"/>
      <protection locked="0"/>
    </xf>
    <xf numFmtId="0" fontId="4" fillId="0" borderId="0">
      <alignment horizontal="left"/>
    </xf>
    <xf numFmtId="228" fontId="10" fillId="0" borderId="0"/>
    <xf numFmtId="207" fontId="2" fillId="2" borderId="0">
      <alignment horizontal="right"/>
    </xf>
    <xf numFmtId="0" fontId="69" fillId="0" borderId="11">
      <alignment horizontal="left"/>
      <protection locked="0"/>
    </xf>
    <xf numFmtId="0" fontId="70" fillId="0" borderId="0"/>
    <xf numFmtId="0" fontId="71" fillId="0" borderId="0"/>
    <xf numFmtId="0" fontId="72" fillId="0" borderId="0"/>
    <xf numFmtId="0" fontId="73" fillId="0" borderId="0"/>
    <xf numFmtId="0" fontId="31" fillId="0" borderId="0">
      <alignment horizontal="right"/>
    </xf>
    <xf numFmtId="0" fontId="31" fillId="0" borderId="0">
      <alignment horizontal="right"/>
    </xf>
    <xf numFmtId="3" fontId="48" fillId="0" borderId="0">
      <alignment horizontal="center"/>
    </xf>
    <xf numFmtId="229" fontId="2" fillId="0" borderId="0">
      <alignment horizontal="right"/>
    </xf>
    <xf numFmtId="0" fontId="74" fillId="0" borderId="0"/>
    <xf numFmtId="17" fontId="53" fillId="0" borderId="0">
      <alignment horizontal="center"/>
    </xf>
    <xf numFmtId="230" fontId="10" fillId="0" borderId="0"/>
    <xf numFmtId="231" fontId="4" fillId="0" borderId="0"/>
    <xf numFmtId="168" fontId="14" fillId="0" borderId="0"/>
    <xf numFmtId="0" fontId="2" fillId="0" borderId="0">
      <alignment horizontal="right"/>
    </xf>
    <xf numFmtId="0" fontId="75" fillId="11" borderId="0"/>
    <xf numFmtId="0" fontId="76" fillId="12" borderId="0"/>
    <xf numFmtId="0" fontId="77" fillId="0" borderId="0"/>
    <xf numFmtId="0" fontId="43" fillId="0" borderId="0"/>
    <xf numFmtId="37" fontId="78" fillId="0" borderId="0"/>
    <xf numFmtId="0" fontId="31" fillId="0" borderId="0"/>
    <xf numFmtId="169" fontId="10" fillId="0" borderId="0"/>
    <xf numFmtId="0" fontId="10" fillId="0" borderId="0"/>
    <xf numFmtId="165" fontId="31" fillId="0" borderId="0"/>
    <xf numFmtId="0" fontId="79" fillId="0" borderId="0"/>
    <xf numFmtId="0" fontId="1" fillId="0" borderId="0"/>
    <xf numFmtId="0" fontId="1" fillId="0" borderId="0"/>
    <xf numFmtId="0" fontId="46" fillId="0" borderId="0">
      <alignment vertical="center"/>
    </xf>
    <xf numFmtId="0" fontId="46" fillId="0" borderId="0">
      <alignment vertical="center"/>
    </xf>
    <xf numFmtId="0" fontId="46" fillId="0" borderId="0">
      <alignment vertical="center"/>
    </xf>
    <xf numFmtId="0" fontId="2" fillId="0" borderId="0"/>
    <xf numFmtId="0" fontId="80" fillId="0" borderId="0"/>
    <xf numFmtId="0" fontId="1" fillId="0" borderId="0"/>
    <xf numFmtId="0" fontId="45" fillId="0" borderId="0"/>
    <xf numFmtId="0" fontId="81" fillId="0" borderId="0"/>
    <xf numFmtId="0" fontId="1" fillId="0" borderId="0"/>
    <xf numFmtId="0" fontId="10" fillId="0" borderId="0"/>
    <xf numFmtId="0" fontId="82" fillId="0" borderId="0"/>
    <xf numFmtId="0" fontId="82" fillId="0" borderId="0"/>
    <xf numFmtId="0" fontId="83" fillId="0" borderId="11"/>
    <xf numFmtId="0" fontId="2" fillId="0" borderId="0"/>
    <xf numFmtId="14" fontId="4" fillId="0" borderId="0"/>
    <xf numFmtId="0" fontId="12" fillId="0" borderId="0">
      <alignment horizontal="center"/>
    </xf>
    <xf numFmtId="232" fontId="2" fillId="0" borderId="0"/>
    <xf numFmtId="233" fontId="4" fillId="0" borderId="0">
      <alignment horizontal="right" wrapText="1"/>
    </xf>
    <xf numFmtId="234" fontId="84" fillId="13" borderId="5"/>
    <xf numFmtId="0" fontId="10" fillId="0" borderId="0"/>
    <xf numFmtId="235" fontId="10" fillId="0" borderId="0"/>
    <xf numFmtId="236" fontId="84" fillId="13" borderId="5"/>
    <xf numFmtId="40" fontId="85" fillId="2" borderId="0">
      <alignment horizontal="right"/>
    </xf>
    <xf numFmtId="0" fontId="86" fillId="2" borderId="0">
      <alignment horizontal="right"/>
    </xf>
    <xf numFmtId="0" fontId="87" fillId="2" borderId="25"/>
    <xf numFmtId="0" fontId="87" fillId="0" borderId="0">
      <alignment horizontal="centerContinuous"/>
    </xf>
    <xf numFmtId="0" fontId="88" fillId="0" borderId="0">
      <alignment horizontal="centerContinuous"/>
    </xf>
    <xf numFmtId="164" fontId="10" fillId="0" borderId="0"/>
    <xf numFmtId="0" fontId="89" fillId="0" borderId="0">
      <alignment horizontal="left"/>
    </xf>
    <xf numFmtId="0" fontId="90" fillId="0" borderId="0">
      <alignment horizontal="left"/>
    </xf>
    <xf numFmtId="1" fontId="91" fillId="0" borderId="0">
      <alignment horizontal="right" vertical="center"/>
    </xf>
    <xf numFmtId="225" fontId="4" fillId="14" borderId="0"/>
    <xf numFmtId="178" fontId="11" fillId="0" borderId="11">
      <alignment horizontal="right"/>
    </xf>
    <xf numFmtId="10" fontId="2" fillId="0" borderId="0"/>
    <xf numFmtId="9" fontId="2" fillId="0" borderId="0"/>
    <xf numFmtId="9" fontId="44" fillId="0" borderId="0"/>
    <xf numFmtId="9" fontId="44" fillId="0" borderId="0"/>
    <xf numFmtId="237" fontId="53" fillId="0" borderId="0">
      <alignment horizontal="center"/>
    </xf>
    <xf numFmtId="238" fontId="33" fillId="0" borderId="0">
      <alignment horizontal="right"/>
    </xf>
    <xf numFmtId="0" fontId="10" fillId="0" borderId="0"/>
    <xf numFmtId="168" fontId="10" fillId="0" borderId="0"/>
    <xf numFmtId="7" fontId="31" fillId="0" borderId="0"/>
    <xf numFmtId="0" fontId="43" fillId="0" borderId="0">
      <alignment horizontal="left"/>
    </xf>
    <xf numFmtId="15" fontId="43" fillId="0" borderId="0"/>
    <xf numFmtId="4" fontId="43" fillId="0" borderId="0"/>
    <xf numFmtId="0" fontId="9" fillId="0" borderId="18">
      <alignment horizontal="center"/>
    </xf>
    <xf numFmtId="3" fontId="43" fillId="0" borderId="0"/>
    <xf numFmtId="0" fontId="43" fillId="15" borderId="0"/>
    <xf numFmtId="168" fontId="92" fillId="0" borderId="2"/>
    <xf numFmtId="0" fontId="93" fillId="0" borderId="11">
      <protection hidden="1"/>
    </xf>
    <xf numFmtId="0" fontId="37" fillId="0" borderId="0">
      <alignment vertical="top"/>
    </xf>
    <xf numFmtId="7" fontId="10" fillId="0" borderId="0"/>
    <xf numFmtId="0" fontId="94" fillId="16" borderId="0"/>
    <xf numFmtId="38" fontId="95" fillId="0" borderId="0"/>
    <xf numFmtId="0" fontId="14" fillId="12" borderId="0"/>
    <xf numFmtId="7" fontId="10" fillId="0" borderId="0"/>
    <xf numFmtId="0" fontId="96" fillId="0" borderId="0"/>
    <xf numFmtId="0" fontId="97" fillId="0" borderId="0"/>
    <xf numFmtId="0" fontId="98" fillId="0" borderId="0"/>
    <xf numFmtId="0" fontId="99" fillId="17" borderId="0">
      <alignment horizontal="center" wrapText="1"/>
    </xf>
    <xf numFmtId="0" fontId="21" fillId="0" borderId="0"/>
    <xf numFmtId="0" fontId="76" fillId="17" borderId="0"/>
    <xf numFmtId="0" fontId="10" fillId="0" borderId="0"/>
    <xf numFmtId="0" fontId="96" fillId="0" borderId="0"/>
    <xf numFmtId="42" fontId="100" fillId="0" borderId="0"/>
    <xf numFmtId="0" fontId="82" fillId="0" borderId="0"/>
    <xf numFmtId="0" fontId="15" fillId="0" borderId="0">
      <alignment vertical="top"/>
    </xf>
    <xf numFmtId="0" fontId="21" fillId="0" borderId="0"/>
    <xf numFmtId="0" fontId="101" fillId="0" borderId="0"/>
    <xf numFmtId="0" fontId="94" fillId="16" borderId="0"/>
    <xf numFmtId="0" fontId="61" fillId="12" borderId="0"/>
    <xf numFmtId="0" fontId="102" fillId="0" borderId="0"/>
    <xf numFmtId="0" fontId="61" fillId="0" borderId="0"/>
    <xf numFmtId="0" fontId="103" fillId="0" borderId="0"/>
    <xf numFmtId="0" fontId="61" fillId="0" borderId="0">
      <alignment wrapText="1"/>
    </xf>
    <xf numFmtId="0" fontId="104" fillId="0" borderId="0"/>
    <xf numFmtId="41" fontId="2" fillId="0" borderId="0"/>
    <xf numFmtId="0" fontId="105" fillId="0" borderId="0"/>
    <xf numFmtId="0" fontId="106" fillId="0" borderId="0"/>
    <xf numFmtId="0" fontId="22" fillId="0" borderId="0">
      <alignment horizontal="center" vertical="center"/>
    </xf>
    <xf numFmtId="0" fontId="107" fillId="0" borderId="0">
      <alignment vertical="center"/>
    </xf>
    <xf numFmtId="221" fontId="107" fillId="0" borderId="2">
      <alignment horizontal="right" vertical="center"/>
    </xf>
    <xf numFmtId="0" fontId="108" fillId="18" borderId="0">
      <alignment horizontal="centerContinuous" vertical="center"/>
    </xf>
    <xf numFmtId="0" fontId="108" fillId="19" borderId="2">
      <alignment horizontal="centerContinuous" vertical="center"/>
    </xf>
    <xf numFmtId="0" fontId="22" fillId="0" borderId="0"/>
    <xf numFmtId="0" fontId="109" fillId="0" borderId="0">
      <alignment horizontal="left"/>
    </xf>
    <xf numFmtId="0" fontId="110" fillId="0" borderId="24">
      <alignment horizontal="left" vertical="top"/>
    </xf>
    <xf numFmtId="0" fontId="4" fillId="0" borderId="0"/>
    <xf numFmtId="0" fontId="61" fillId="0" borderId="0"/>
    <xf numFmtId="0" fontId="103" fillId="0" borderId="0"/>
    <xf numFmtId="0" fontId="102" fillId="0" borderId="0"/>
    <xf numFmtId="0" fontId="21" fillId="0" borderId="0"/>
    <xf numFmtId="0" fontId="111" fillId="0" borderId="0"/>
    <xf numFmtId="0" fontId="14" fillId="0" borderId="0"/>
    <xf numFmtId="0" fontId="112" fillId="0" borderId="0"/>
    <xf numFmtId="40" fontId="2" fillId="0" borderId="0"/>
    <xf numFmtId="239" fontId="113" fillId="18" borderId="0">
      <alignment horizontal="centerContinuous"/>
    </xf>
    <xf numFmtId="239" fontId="113" fillId="18" borderId="0">
      <alignment horizontal="centerContinuous"/>
    </xf>
    <xf numFmtId="0" fontId="101" fillId="0" borderId="0"/>
    <xf numFmtId="0" fontId="114" fillId="5" borderId="11"/>
    <xf numFmtId="0" fontId="47" fillId="0" borderId="26"/>
    <xf numFmtId="0" fontId="47" fillId="0" borderId="26"/>
    <xf numFmtId="240" fontId="10" fillId="0" borderId="0"/>
    <xf numFmtId="241" fontId="10" fillId="0" borderId="0"/>
    <xf numFmtId="168" fontId="10" fillId="0" borderId="2"/>
    <xf numFmtId="178" fontId="115" fillId="9" borderId="0">
      <protection locked="0"/>
    </xf>
    <xf numFmtId="0" fontId="116" fillId="0" borderId="0"/>
    <xf numFmtId="0" fontId="46" fillId="0" borderId="0"/>
    <xf numFmtId="170" fontId="1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170" fontId="14" fillId="0" borderId="0">
      <protection locked="0"/>
    </xf>
    <xf numFmtId="0" fontId="46" fillId="0" borderId="0">
      <alignment horizontal="right"/>
    </xf>
    <xf numFmtId="242" fontId="2" fillId="0" borderId="0"/>
    <xf numFmtId="234" fontId="65" fillId="13" borderId="0">
      <alignment horizontal="center"/>
    </xf>
    <xf numFmtId="0" fontId="117" fillId="0" borderId="0"/>
  </cellStyleXfs>
  <cellXfs count="220">
    <xf numFmtId="0" fontId="0" fillId="0" borderId="0" xfId="0"/>
    <xf numFmtId="0" fontId="1" fillId="0" borderId="0" xfId="208"/>
    <xf numFmtId="0" fontId="0" fillId="0" borderId="0" xfId="0"/>
    <xf numFmtId="0" fontId="0" fillId="0" borderId="0" xfId="0"/>
    <xf numFmtId="168" fontId="1" fillId="0" borderId="0" xfId="208" applyNumberFormat="1"/>
    <xf numFmtId="170" fontId="6" fillId="0" borderId="0" xfId="208" applyNumberFormat="1" applyFont="1" applyAlignment="1">
      <alignment horizontal="center" wrapText="1"/>
    </xf>
    <xf numFmtId="0" fontId="6" fillId="0" borderId="0" xfId="208" applyFont="1"/>
    <xf numFmtId="0" fontId="7" fillId="0" borderId="0" xfId="208" applyFont="1"/>
    <xf numFmtId="0" fontId="1" fillId="0" borderId="0" xfId="208"/>
    <xf numFmtId="0" fontId="6" fillId="0" borderId="6" xfId="208" applyFont="1" applyBorder="1" applyAlignment="1">
      <alignment horizontal="centerContinuous"/>
    </xf>
    <xf numFmtId="0" fontId="6" fillId="0" borderId="0" xfId="208" applyFont="1" applyAlignment="1">
      <alignment horizontal="centerContinuous"/>
    </xf>
    <xf numFmtId="37" fontId="3" fillId="0" borderId="0" xfId="208" applyNumberFormat="1" applyFont="1"/>
    <xf numFmtId="0" fontId="1" fillId="0" borderId="0" xfId="208" applyAlignment="1">
      <alignment horizontal="left" indent="1"/>
    </xf>
    <xf numFmtId="0" fontId="0" fillId="0" borderId="0" xfId="208" applyFont="1"/>
    <xf numFmtId="0" fontId="6" fillId="0" borderId="0" xfId="208" applyFont="1" applyAlignment="1">
      <alignment horizontal="left" indent="1"/>
    </xf>
    <xf numFmtId="0" fontId="6" fillId="0" borderId="0" xfId="208" applyFont="1"/>
    <xf numFmtId="43" fontId="1" fillId="0" borderId="0" xfId="208" applyNumberFormat="1"/>
    <xf numFmtId="37" fontId="1" fillId="0" borderId="0" xfId="208" applyNumberFormat="1"/>
    <xf numFmtId="0" fontId="1" fillId="0" borderId="0" xfId="208" applyAlignment="1">
      <alignment horizontal="center"/>
    </xf>
    <xf numFmtId="0" fontId="8" fillId="0" borderId="0" xfId="208" applyFont="1"/>
    <xf numFmtId="5" fontId="1" fillId="0" borderId="28" xfId="208" applyNumberFormat="1" applyBorder="1"/>
    <xf numFmtId="5" fontId="6" fillId="0" borderId="28" xfId="208" applyNumberFormat="1" applyFont="1" applyBorder="1"/>
    <xf numFmtId="5" fontId="118" fillId="0" borderId="29" xfId="0" applyNumberFormat="1" applyFont="1" applyBorder="1"/>
    <xf numFmtId="0" fontId="0" fillId="0" borderId="30" xfId="0" applyBorder="1"/>
    <xf numFmtId="167" fontId="0" fillId="0" borderId="31" xfId="0" applyNumberFormat="1" applyBorder="1"/>
    <xf numFmtId="166" fontId="0" fillId="0" borderId="31" xfId="0" applyNumberFormat="1" applyBorder="1"/>
    <xf numFmtId="0" fontId="0" fillId="0" borderId="0" xfId="0" applyAlignment="1">
      <alignment indent="1"/>
    </xf>
    <xf numFmtId="0" fontId="7" fillId="0" borderId="0" xfId="0" applyFont="1"/>
    <xf numFmtId="37" fontId="0" fillId="0" borderId="0" xfId="0" applyNumberFormat="1"/>
    <xf numFmtId="167" fontId="0" fillId="0" borderId="34" xfId="0" applyNumberFormat="1" applyBorder="1"/>
    <xf numFmtId="0" fontId="121" fillId="0" borderId="0" xfId="0" applyFont="1"/>
    <xf numFmtId="244" fontId="123" fillId="0" borderId="0" xfId="0" applyNumberFormat="1" applyFont="1"/>
    <xf numFmtId="37" fontId="123" fillId="0" borderId="0" xfId="0" applyNumberFormat="1" applyFont="1"/>
    <xf numFmtId="0" fontId="0" fillId="0" borderId="40" xfId="0" applyBorder="1"/>
    <xf numFmtId="0" fontId="0" fillId="0" borderId="41" xfId="0" applyBorder="1"/>
    <xf numFmtId="0" fontId="6" fillId="0" borderId="0" xfId="0" applyFont="1"/>
    <xf numFmtId="0" fontId="6" fillId="0" borderId="30" xfId="0" applyFont="1" applyBorder="1"/>
    <xf numFmtId="0" fontId="0" fillId="0" borderId="0" xfId="0"/>
    <xf numFmtId="0" fontId="6" fillId="0" borderId="36" xfId="0" applyFont="1" applyBorder="1"/>
    <xf numFmtId="0" fontId="119" fillId="0" borderId="0" xfId="0" applyFont="1" applyAlignment="1">
      <alignment horizontal="right"/>
    </xf>
    <xf numFmtId="0" fontId="6" fillId="0" borderId="36" xfId="0" applyFont="1" applyBorder="1" applyAlignment="1">
      <alignment horizontal="center"/>
    </xf>
    <xf numFmtId="246" fontId="0" fillId="0" borderId="0" xfId="0" applyNumberFormat="1"/>
    <xf numFmtId="0" fontId="124" fillId="0" borderId="0" xfId="0" applyFont="1"/>
    <xf numFmtId="0" fontId="125" fillId="0" borderId="47" xfId="0" applyFont="1" applyBorder="1"/>
    <xf numFmtId="0" fontId="126" fillId="0" borderId="49" xfId="0" applyFont="1" applyBorder="1"/>
    <xf numFmtId="0" fontId="126" fillId="0" borderId="51" xfId="0" applyFont="1" applyBorder="1"/>
    <xf numFmtId="0" fontId="125" fillId="0" borderId="49" xfId="0" applyFont="1" applyBorder="1"/>
    <xf numFmtId="0" fontId="125" fillId="0" borderId="52" xfId="0" applyFont="1" applyBorder="1"/>
    <xf numFmtId="0" fontId="126" fillId="0" borderId="0" xfId="0" applyFont="1"/>
    <xf numFmtId="0" fontId="125" fillId="0" borderId="1" xfId="0" applyFont="1" applyBorder="1"/>
    <xf numFmtId="0" fontId="126" fillId="0" borderId="1" xfId="0" applyFont="1" applyBorder="1"/>
    <xf numFmtId="0" fontId="126" fillId="0" borderId="3" xfId="0" applyFont="1" applyBorder="1"/>
    <xf numFmtId="0" fontId="126" fillId="0" borderId="45" xfId="0" applyFont="1" applyBorder="1"/>
    <xf numFmtId="0" fontId="126" fillId="0" borderId="27" xfId="0" applyFont="1" applyBorder="1"/>
    <xf numFmtId="7" fontId="127" fillId="0" borderId="0" xfId="0" applyNumberFormat="1" applyFont="1"/>
    <xf numFmtId="5" fontId="126" fillId="0" borderId="45" xfId="0" applyNumberFormat="1" applyFont="1" applyBorder="1"/>
    <xf numFmtId="166" fontId="125" fillId="0" borderId="4" xfId="0" applyNumberFormat="1" applyFont="1" applyBorder="1" applyAlignment="1">
      <alignment horizontal="center"/>
    </xf>
    <xf numFmtId="0" fontId="127" fillId="0" borderId="0" xfId="0" applyFont="1"/>
    <xf numFmtId="6" fontId="127" fillId="0" borderId="0" xfId="0" applyNumberFormat="1" applyFont="1"/>
    <xf numFmtId="14" fontId="127" fillId="0" borderId="0" xfId="0" applyNumberFormat="1" applyFont="1"/>
    <xf numFmtId="243" fontId="127" fillId="0" borderId="0" xfId="0" applyNumberFormat="1" applyFont="1"/>
    <xf numFmtId="0" fontId="126" fillId="0" borderId="44" xfId="0" applyFont="1" applyBorder="1" applyAlignment="1">
      <alignment indent="1"/>
    </xf>
    <xf numFmtId="243" fontId="126" fillId="0" borderId="0" xfId="0" applyNumberFormat="1" applyFont="1"/>
    <xf numFmtId="10" fontId="127" fillId="0" borderId="0" xfId="0" applyNumberFormat="1" applyFont="1"/>
    <xf numFmtId="6" fontId="126" fillId="0" borderId="0" xfId="0" applyNumberFormat="1" applyFont="1"/>
    <xf numFmtId="8" fontId="126" fillId="0" borderId="0" xfId="0" applyNumberFormat="1" applyFont="1"/>
    <xf numFmtId="0" fontId="126" fillId="0" borderId="0" xfId="0" applyFont="1" applyAlignment="1">
      <alignment indent="1"/>
    </xf>
    <xf numFmtId="0" fontId="124" fillId="0" borderId="44" xfId="0" applyFont="1" applyBorder="1"/>
    <xf numFmtId="0" fontId="124" fillId="0" borderId="45" xfId="0" applyFont="1" applyBorder="1"/>
    <xf numFmtId="0" fontId="124" fillId="0" borderId="48" xfId="0" applyFont="1" applyBorder="1"/>
    <xf numFmtId="0" fontId="124" fillId="0" borderId="50" xfId="0" applyFont="1" applyBorder="1"/>
    <xf numFmtId="0" fontId="129" fillId="0" borderId="50" xfId="0" applyFont="1" applyBorder="1"/>
    <xf numFmtId="0" fontId="124" fillId="0" borderId="53" xfId="0" applyFont="1" applyBorder="1"/>
    <xf numFmtId="0" fontId="130" fillId="0" borderId="30" xfId="0" applyFont="1" applyBorder="1"/>
    <xf numFmtId="0" fontId="124" fillId="0" borderId="30" xfId="0" applyFont="1" applyBorder="1"/>
    <xf numFmtId="37" fontId="131" fillId="0" borderId="0" xfId="0" applyNumberFormat="1" applyFont="1"/>
    <xf numFmtId="0" fontId="124" fillId="0" borderId="0" xfId="0" applyFont="1"/>
    <xf numFmtId="0" fontId="124" fillId="0" borderId="0" xfId="0" applyFont="1" applyAlignment="1">
      <alignment indent="1"/>
    </xf>
    <xf numFmtId="37" fontId="124" fillId="0" borderId="0" xfId="0" applyNumberFormat="1" applyFont="1"/>
    <xf numFmtId="0" fontId="130" fillId="0" borderId="36" xfId="0" applyFont="1" applyBorder="1"/>
    <xf numFmtId="0" fontId="130" fillId="0" borderId="36" xfId="0" applyFont="1" applyBorder="1" applyAlignment="1">
      <alignment horizontal="center"/>
    </xf>
    <xf numFmtId="0" fontId="132" fillId="0" borderId="0" xfId="0" applyFont="1"/>
    <xf numFmtId="246" fontId="124" fillId="0" borderId="0" xfId="0" applyNumberFormat="1" applyFont="1"/>
    <xf numFmtId="0" fontId="0" fillId="0" borderId="0" xfId="0" applyAlignment="1">
      <alignment indent="1"/>
    </xf>
    <xf numFmtId="0" fontId="5" fillId="0" borderId="0" xfId="0" applyFont="1"/>
    <xf numFmtId="0" fontId="0" fillId="0" borderId="57" xfId="0" applyBorder="1"/>
    <xf numFmtId="0" fontId="0" fillId="0" borderId="25" xfId="0" applyBorder="1"/>
    <xf numFmtId="0" fontId="0" fillId="0" borderId="0" xfId="0"/>
    <xf numFmtId="0" fontId="5" fillId="0" borderId="0" xfId="0" applyFont="1" applyAlignment="1">
      <alignment indent="1"/>
    </xf>
    <xf numFmtId="0" fontId="126" fillId="0" borderId="44" xfId="0" applyFont="1" applyBorder="1"/>
    <xf numFmtId="245" fontId="121" fillId="0" borderId="0" xfId="0" applyNumberFormat="1" applyFont="1" applyAlignment="1">
      <alignment horizontal="right"/>
    </xf>
    <xf numFmtId="37" fontId="3" fillId="0" borderId="0" xfId="0" applyNumberFormat="1" applyFont="1"/>
    <xf numFmtId="9" fontId="5" fillId="0" borderId="5" xfId="208" applyNumberFormat="1" applyFont="1" applyBorder="1"/>
    <xf numFmtId="37" fontId="126" fillId="0" borderId="0" xfId="0" applyNumberFormat="1" applyFont="1"/>
    <xf numFmtId="0" fontId="133" fillId="0" borderId="58" xfId="0" applyFont="1" applyBorder="1"/>
    <xf numFmtId="0" fontId="5" fillId="0" borderId="59" xfId="0" applyFont="1" applyBorder="1"/>
    <xf numFmtId="166" fontId="0" fillId="0" borderId="34" xfId="0" applyNumberFormat="1" applyBorder="1"/>
    <xf numFmtId="0" fontId="0" fillId="0" borderId="56" xfId="0" applyBorder="1"/>
    <xf numFmtId="0" fontId="0" fillId="0" borderId="32" xfId="0" applyBorder="1"/>
    <xf numFmtId="0" fontId="0" fillId="20" borderId="60" xfId="0" applyFill="1" applyBorder="1"/>
    <xf numFmtId="0" fontId="134" fillId="0" borderId="0" xfId="0" applyFont="1"/>
    <xf numFmtId="0" fontId="0" fillId="0" borderId="24" xfId="0" applyBorder="1"/>
    <xf numFmtId="0" fontId="0" fillId="0" borderId="0" xfId="0"/>
    <xf numFmtId="0" fontId="0" fillId="21" borderId="60" xfId="0" applyFill="1" applyBorder="1"/>
    <xf numFmtId="0" fontId="135" fillId="0" borderId="0" xfId="0" applyFont="1"/>
    <xf numFmtId="0" fontId="0" fillId="22" borderId="60" xfId="0" applyFill="1" applyBorder="1"/>
    <xf numFmtId="0" fontId="136" fillId="0" borderId="0" xfId="0" applyFont="1"/>
    <xf numFmtId="0" fontId="0" fillId="23" borderId="60" xfId="0" applyFill="1" applyBorder="1"/>
    <xf numFmtId="0" fontId="3" fillId="0" borderId="0" xfId="0" applyFont="1"/>
    <xf numFmtId="0" fontId="0" fillId="0" borderId="61" xfId="0" applyBorder="1"/>
    <xf numFmtId="0" fontId="0" fillId="0" borderId="2" xfId="0" applyBorder="1"/>
    <xf numFmtId="0" fontId="0" fillId="0" borderId="62" xfId="0" applyBorder="1"/>
    <xf numFmtId="5" fontId="134" fillId="0" borderId="0" xfId="0" applyNumberFormat="1" applyFont="1"/>
    <xf numFmtId="5" fontId="0" fillId="0" borderId="0" xfId="0" applyNumberFormat="1"/>
    <xf numFmtId="248" fontId="135" fillId="0" borderId="0" xfId="0" applyNumberFormat="1" applyFont="1"/>
    <xf numFmtId="248" fontId="5" fillId="0" borderId="0" xfId="0" applyNumberFormat="1" applyFont="1"/>
    <xf numFmtId="37" fontId="0" fillId="0" borderId="33" xfId="0" applyNumberFormat="1" applyBorder="1"/>
    <xf numFmtId="248" fontId="7" fillId="0" borderId="0" xfId="0" applyNumberFormat="1" applyFont="1"/>
    <xf numFmtId="37" fontId="134" fillId="0" borderId="0" xfId="0" applyNumberFormat="1" applyFont="1"/>
    <xf numFmtId="37" fontId="135" fillId="0" borderId="0" xfId="0" applyNumberFormat="1" applyFont="1"/>
    <xf numFmtId="5" fontId="134" fillId="0" borderId="33" xfId="0" applyNumberFormat="1" applyFont="1" applyBorder="1"/>
    <xf numFmtId="5" fontId="0" fillId="0" borderId="33" xfId="0" applyNumberFormat="1" applyBorder="1"/>
    <xf numFmtId="248" fontId="120" fillId="0" borderId="0" xfId="0" applyNumberFormat="1" applyFont="1"/>
    <xf numFmtId="5" fontId="136" fillId="0" borderId="0" xfId="0" applyNumberFormat="1" applyFont="1"/>
    <xf numFmtId="37" fontId="136" fillId="0" borderId="0" xfId="0" applyNumberFormat="1" applyFont="1"/>
    <xf numFmtId="37" fontId="0" fillId="0" borderId="33" xfId="0" applyNumberFormat="1" applyBorder="1"/>
    <xf numFmtId="37" fontId="119" fillId="0" borderId="0" xfId="0" applyNumberFormat="1" applyFont="1" applyAlignment="1">
      <alignment horizontal="right"/>
    </xf>
    <xf numFmtId="5" fontId="122" fillId="0" borderId="33" xfId="0" applyNumberFormat="1" applyFont="1" applyBorder="1"/>
    <xf numFmtId="5" fontId="134" fillId="0" borderId="35" xfId="0" applyNumberFormat="1" applyFont="1" applyBorder="1"/>
    <xf numFmtId="5" fontId="0" fillId="0" borderId="35" xfId="0" applyNumberFormat="1" applyBorder="1"/>
    <xf numFmtId="5" fontId="3" fillId="0" borderId="0" xfId="0" applyNumberFormat="1" applyFont="1"/>
    <xf numFmtId="5" fontId="0" fillId="0" borderId="37" xfId="0" applyNumberFormat="1" applyBorder="1"/>
    <xf numFmtId="5" fontId="122" fillId="0" borderId="37" xfId="0" applyNumberFormat="1" applyFont="1" applyBorder="1"/>
    <xf numFmtId="5" fontId="121" fillId="0" borderId="0" xfId="0" applyNumberFormat="1" applyFont="1" applyAlignment="1">
      <alignment horizontal="right"/>
    </xf>
    <xf numFmtId="249" fontId="6" fillId="0" borderId="31" xfId="0" applyNumberFormat="1" applyFont="1" applyBorder="1"/>
    <xf numFmtId="5" fontId="135" fillId="0" borderId="0" xfId="0" applyNumberFormat="1" applyFont="1"/>
    <xf numFmtId="5" fontId="135" fillId="0" borderId="54" xfId="0" applyNumberFormat="1" applyFont="1" applyBorder="1" applyAlignment="1">
      <alignment horizontal="center"/>
    </xf>
    <xf numFmtId="9" fontId="135" fillId="0" borderId="54" xfId="0" applyNumberFormat="1" applyFont="1" applyBorder="1"/>
    <xf numFmtId="247" fontId="135" fillId="0" borderId="0" xfId="0" applyNumberFormat="1" applyFont="1"/>
    <xf numFmtId="5" fontId="0" fillId="0" borderId="32" xfId="0" applyNumberFormat="1" applyBorder="1"/>
    <xf numFmtId="0" fontId="6" fillId="0" borderId="2" xfId="0" applyFont="1" applyBorder="1"/>
    <xf numFmtId="250" fontId="135" fillId="0" borderId="36" xfId="0" applyNumberFormat="1" applyFont="1" applyBorder="1"/>
    <xf numFmtId="0" fontId="135" fillId="0" borderId="0" xfId="0" applyFont="1" applyAlignment="1">
      <alignment horizontal="right"/>
    </xf>
    <xf numFmtId="10" fontId="135" fillId="0" borderId="0" xfId="0" applyNumberFormat="1" applyFont="1" applyAlignment="1">
      <alignment horizontal="right"/>
    </xf>
    <xf numFmtId="0" fontId="135" fillId="0" borderId="0" xfId="0" applyFont="1"/>
    <xf numFmtId="10" fontId="135" fillId="0" borderId="0" xfId="0" applyNumberFormat="1" applyFont="1"/>
    <xf numFmtId="0" fontId="135" fillId="24" borderId="55" xfId="0" applyFont="1" applyFill="1" applyBorder="1" applyAlignment="1">
      <alignment horizontal="center"/>
    </xf>
    <xf numFmtId="248" fontId="0" fillId="0" borderId="0" xfId="0" applyNumberFormat="1"/>
    <xf numFmtId="5" fontId="123" fillId="0" borderId="0" xfId="0" applyNumberFormat="1" applyFont="1"/>
    <xf numFmtId="244" fontId="135" fillId="0" borderId="0" xfId="0" applyNumberFormat="1" applyFont="1"/>
    <xf numFmtId="248" fontId="123" fillId="0" borderId="0" xfId="0" applyNumberFormat="1" applyFont="1"/>
    <xf numFmtId="5" fontId="123" fillId="0" borderId="33" xfId="0" applyNumberFormat="1" applyFont="1" applyBorder="1"/>
    <xf numFmtId="5" fontId="0" fillId="0" borderId="38" xfId="0" applyNumberFormat="1" applyBorder="1"/>
    <xf numFmtId="5" fontId="0" fillId="0" borderId="42" xfId="0" applyNumberFormat="1" applyBorder="1"/>
    <xf numFmtId="5" fontId="0" fillId="0" borderId="39" xfId="0" applyNumberFormat="1" applyBorder="1"/>
    <xf numFmtId="37" fontId="0" fillId="0" borderId="39" xfId="0" applyNumberFormat="1" applyBorder="1"/>
    <xf numFmtId="37" fontId="0" fillId="0" borderId="43" xfId="0" applyNumberFormat="1" applyBorder="1"/>
    <xf numFmtId="249" fontId="6" fillId="0" borderId="7" xfId="208" applyNumberFormat="1" applyFont="1" applyBorder="1" applyAlignment="1">
      <alignment horizontal="right"/>
    </xf>
    <xf numFmtId="251" fontId="6" fillId="0" borderId="0" xfId="208" applyNumberFormat="1" applyFont="1" applyAlignment="1">
      <alignment horizontal="center"/>
    </xf>
    <xf numFmtId="249" fontId="6" fillId="0" borderId="0" xfId="208" applyNumberFormat="1" applyFont="1" applyAlignment="1">
      <alignment horizontal="center"/>
    </xf>
    <xf numFmtId="43" fontId="135" fillId="0" borderId="0" xfId="208" applyNumberFormat="1" applyFont="1"/>
    <xf numFmtId="43" fontId="3" fillId="0" borderId="0" xfId="208" applyNumberFormat="1" applyFont="1"/>
    <xf numFmtId="248" fontId="135" fillId="0" borderId="0" xfId="208" applyNumberFormat="1" applyFont="1"/>
    <xf numFmtId="248" fontId="1" fillId="0" borderId="0" xfId="208" applyNumberFormat="1"/>
    <xf numFmtId="249" fontId="6" fillId="0" borderId="0" xfId="208" applyNumberFormat="1" applyFont="1" applyAlignment="1">
      <alignment horizontal="center" wrapText="1"/>
    </xf>
    <xf numFmtId="5" fontId="137" fillId="0" borderId="0" xfId="0" applyNumberFormat="1" applyFont="1"/>
    <xf numFmtId="246" fontId="137" fillId="0" borderId="0" xfId="0" applyNumberFormat="1" applyFont="1"/>
    <xf numFmtId="37" fontId="137" fillId="0" borderId="0" xfId="0" applyNumberFormat="1" applyFont="1"/>
    <xf numFmtId="37" fontId="126" fillId="0" borderId="45" xfId="0" applyNumberFormat="1" applyFont="1" applyBorder="1"/>
    <xf numFmtId="5" fontId="126" fillId="0" borderId="0" xfId="0" applyNumberFormat="1" applyFont="1"/>
    <xf numFmtId="37" fontId="137" fillId="0" borderId="45" xfId="0" applyNumberFormat="1" applyFont="1" applyBorder="1"/>
    <xf numFmtId="37" fontId="118" fillId="0" borderId="45" xfId="0" applyNumberFormat="1" applyFont="1" applyBorder="1"/>
    <xf numFmtId="5" fontId="126" fillId="0" borderId="33" xfId="0" applyNumberFormat="1" applyFont="1" applyBorder="1"/>
    <xf numFmtId="37" fontId="127" fillId="0" borderId="0" xfId="0" applyNumberFormat="1" applyFont="1"/>
    <xf numFmtId="5" fontId="128" fillId="0" borderId="0" xfId="0" applyNumberFormat="1" applyFont="1"/>
    <xf numFmtId="5" fontId="126" fillId="0" borderId="46" xfId="0" applyNumberFormat="1" applyFont="1" applyBorder="1"/>
    <xf numFmtId="249" fontId="130" fillId="0" borderId="31" xfId="0" applyNumberFormat="1" applyFont="1" applyBorder="1"/>
    <xf numFmtId="5" fontId="124" fillId="0" borderId="33" xfId="0" applyNumberFormat="1" applyFont="1" applyBorder="1"/>
    <xf numFmtId="5" fontId="124" fillId="0" borderId="0" xfId="0" applyNumberFormat="1" applyFont="1"/>
    <xf numFmtId="5" fontId="137" fillId="0" borderId="54" xfId="0" applyNumberFormat="1" applyFont="1" applyBorder="1" applyAlignment="1">
      <alignment horizontal="center"/>
    </xf>
    <xf numFmtId="9" fontId="137" fillId="0" borderId="54" xfId="0" applyNumberFormat="1" applyFont="1" applyBorder="1"/>
    <xf numFmtId="5" fontId="124" fillId="0" borderId="32" xfId="0" applyNumberFormat="1" applyFont="1" applyBorder="1"/>
    <xf numFmtId="0" fontId="130" fillId="0" borderId="2" xfId="0" applyFont="1" applyBorder="1"/>
    <xf numFmtId="250" fontId="138" fillId="0" borderId="36" xfId="0" applyNumberFormat="1" applyFont="1" applyBorder="1"/>
    <xf numFmtId="0" fontId="137" fillId="0" borderId="0" xfId="0" applyFont="1" applyAlignment="1">
      <alignment horizontal="right"/>
    </xf>
    <xf numFmtId="10" fontId="137" fillId="0" borderId="0" xfId="0" applyNumberFormat="1" applyFont="1" applyAlignment="1">
      <alignment horizontal="right"/>
    </xf>
    <xf numFmtId="0" fontId="137" fillId="0" borderId="0" xfId="0" applyFont="1"/>
    <xf numFmtId="10" fontId="137" fillId="0" borderId="0" xfId="0" applyNumberFormat="1" applyFont="1"/>
    <xf numFmtId="0" fontId="137" fillId="0" borderId="54" xfId="0" applyFont="1" applyBorder="1" applyAlignment="1">
      <alignment horizontal="center"/>
    </xf>
    <xf numFmtId="9" fontId="137" fillId="0" borderId="54" xfId="0" applyNumberFormat="1" applyFont="1" applyBorder="1" applyAlignment="1">
      <alignment horizontal="center"/>
    </xf>
    <xf numFmtId="245" fontId="132" fillId="0" borderId="0" xfId="0" applyNumberFormat="1" applyFont="1" applyAlignment="1">
      <alignment horizontal="right"/>
    </xf>
    <xf numFmtId="246" fontId="126" fillId="0" borderId="0" xfId="0" applyNumberFormat="1" applyFont="1"/>
    <xf numFmtId="248" fontId="124" fillId="0" borderId="0" xfId="0" applyNumberFormat="1" applyFont="1"/>
    <xf numFmtId="5" fontId="3" fillId="0" borderId="0" xfId="0" applyNumberFormat="1" applyFont="1"/>
    <xf numFmtId="227" fontId="0" fillId="0" borderId="31" xfId="0" applyNumberFormat="1" applyBorder="1"/>
    <xf numFmtId="0" fontId="0" fillId="0" borderId="0" xfId="0"/>
    <xf numFmtId="0" fontId="0" fillId="0" borderId="0" xfId="0"/>
    <xf numFmtId="170" fontId="7" fillId="0" borderId="0" xfId="0" applyNumberFormat="1" applyFont="1"/>
    <xf numFmtId="0" fontId="126" fillId="0" borderId="0" xfId="0" applyFont="1" applyAlignment="1">
      <alignment horizontal="center" vertical="center" wrapText="1"/>
    </xf>
    <xf numFmtId="0" fontId="125" fillId="0" borderId="0" xfId="0" applyFont="1" applyAlignment="1">
      <alignment vertical="top" wrapText="1"/>
    </xf>
    <xf numFmtId="0" fontId="126" fillId="0" borderId="0" xfId="0" applyFont="1" applyAlignment="1">
      <alignment vertical="top" wrapText="1"/>
    </xf>
    <xf numFmtId="252" fontId="126" fillId="0" borderId="0" xfId="0" applyNumberFormat="1" applyFont="1" applyAlignment="1">
      <alignment horizontal="right" vertical="top"/>
    </xf>
    <xf numFmtId="37" fontId="126" fillId="0" borderId="0" xfId="0" applyNumberFormat="1" applyFont="1" applyAlignment="1">
      <alignment horizontal="right" vertical="top"/>
    </xf>
    <xf numFmtId="253" fontId="126" fillId="0" borderId="0" xfId="0" applyNumberFormat="1" applyFont="1" applyAlignment="1">
      <alignment horizontal="right" vertical="top"/>
    </xf>
    <xf numFmtId="254" fontId="126" fillId="0" borderId="0" xfId="0" applyNumberFormat="1" applyFont="1" applyAlignment="1">
      <alignment horizontal="right" vertical="top"/>
    </xf>
    <xf numFmtId="0" fontId="125" fillId="0" borderId="0" xfId="0" applyFont="1" applyAlignment="1">
      <alignment horizontal="center" vertical="center" wrapText="1"/>
    </xf>
    <xf numFmtId="249" fontId="6" fillId="0" borderId="8" xfId="208" applyNumberFormat="1" applyFont="1" applyBorder="1" applyAlignment="1">
      <alignment horizontal="center" wrapText="1"/>
    </xf>
    <xf numFmtId="0" fontId="0" fillId="0" borderId="0" xfId="0"/>
    <xf numFmtId="248" fontId="135" fillId="0" borderId="0" xfId="208" applyNumberFormat="1" applyFont="1" applyAlignment="1">
      <alignment horizontal="center" wrapText="1"/>
    </xf>
    <xf numFmtId="0" fontId="135" fillId="0" borderId="0" xfId="208" applyFont="1" applyAlignment="1">
      <alignment horizontal="center" wrapText="1"/>
    </xf>
    <xf numFmtId="170" fontId="135" fillId="0" borderId="0" xfId="208" applyNumberFormat="1" applyFont="1" applyAlignment="1">
      <alignment horizontal="center" wrapText="1"/>
    </xf>
    <xf numFmtId="5" fontId="1" fillId="0" borderId="0" xfId="208" applyNumberFormat="1" applyAlignment="1">
      <alignment horizontal="center" wrapText="1"/>
    </xf>
    <xf numFmtId="248" fontId="1" fillId="0" borderId="0" xfId="208" applyNumberFormat="1" applyAlignment="1">
      <alignment horizontal="center" wrapText="1"/>
    </xf>
    <xf numFmtId="0" fontId="1" fillId="0" borderId="0" xfId="208" applyAlignment="1">
      <alignment horizontal="center" wrapText="1"/>
    </xf>
    <xf numFmtId="170" fontId="6" fillId="0" borderId="9" xfId="208" applyNumberFormat="1" applyFont="1" applyBorder="1" applyAlignment="1">
      <alignment horizontal="center" wrapText="1"/>
    </xf>
    <xf numFmtId="170" fontId="6" fillId="0" borderId="10" xfId="208" applyNumberFormat="1" applyFont="1" applyBorder="1" applyAlignment="1">
      <alignment horizontal="center" wrapText="1"/>
    </xf>
    <xf numFmtId="5" fontId="6" fillId="0" borderId="0" xfId="208" applyNumberFormat="1" applyFont="1" applyAlignment="1">
      <alignment horizontal="center" wrapText="1"/>
    </xf>
    <xf numFmtId="169" fontId="1" fillId="0" borderId="0" xfId="208" applyNumberFormat="1" applyAlignment="1">
      <alignment horizontal="center" wrapText="1"/>
    </xf>
    <xf numFmtId="0" fontId="125" fillId="0" borderId="0" xfId="0" applyFont="1" applyAlignment="1">
      <alignment horizontal="center" vertical="center" wrapText="1"/>
    </xf>
    <xf numFmtId="0" fontId="126" fillId="0" borderId="0" xfId="0" applyFont="1" applyAlignment="1">
      <alignment horizontal="center" vertical="center" wrapText="1"/>
    </xf>
  </cellXfs>
  <cellStyles count="381">
    <cellStyle name="_x000a_386grabber=M" xfId="1"/>
    <cellStyle name="#" xfId="2"/>
    <cellStyle name="#-" xfId="3"/>
    <cellStyle name="$" xfId="4"/>
    <cellStyle name="$-" xfId="5"/>
    <cellStyle name="$0.00" xfId="6"/>
    <cellStyle name="%" xfId="7"/>
    <cellStyle name="%-" xfId="8"/>
    <cellStyle name="%_Hilding comps10.8.08v1" xfId="9"/>
    <cellStyle name="," xfId="10"/>
    <cellStyle name="[ercemt" xfId="11"/>
    <cellStyle name="\" xfId="12"/>
    <cellStyle name="_%(SignOnly)" xfId="13"/>
    <cellStyle name="_%(SignOnly)_WACC" xfId="14"/>
    <cellStyle name="_%(SignSpaceOnly)" xfId="15"/>
    <cellStyle name="_%(SignSpaceOnly)_WACC" xfId="16"/>
    <cellStyle name="_5jny0144" xfId="17"/>
    <cellStyle name="_5jny1296" xfId="18"/>
    <cellStyle name="_Chattem Mgmt Case v8" xfId="19"/>
    <cellStyle name="_Comma" xfId="20"/>
    <cellStyle name="_Comma_WACC" xfId="21"/>
    <cellStyle name="_Currency" xfId="22"/>
    <cellStyle name="_Currency_WACC" xfId="23"/>
    <cellStyle name="_Currency_Wholesale FA Op Model (2)" xfId="24"/>
    <cellStyle name="_Currency0" xfId="25"/>
    <cellStyle name="_CurrencySpace" xfId="26"/>
    <cellStyle name="_CurrencySpace_WACC" xfId="27"/>
    <cellStyle name="_CurrencySpace_Wholesale FA Op Model (2)" xfId="28"/>
    <cellStyle name="_Euro" xfId="29"/>
    <cellStyle name="_Euro_WACC" xfId="30"/>
    <cellStyle name="_Heading" xfId="31"/>
    <cellStyle name="_Heading_WACC" xfId="32"/>
    <cellStyle name="_Highlight" xfId="33"/>
    <cellStyle name="_Multiple" xfId="34"/>
    <cellStyle name="_Multiple_WACC" xfId="35"/>
    <cellStyle name="_Multiple_Wholesale FA Op Model (2)" xfId="36"/>
    <cellStyle name="_MultipleSpace" xfId="37"/>
    <cellStyle name="_Number0" xfId="38"/>
    <cellStyle name="_Percent" xfId="39"/>
    <cellStyle name="_Project Cup model 6-21-04" xfId="40"/>
    <cellStyle name="_RowHead" xfId="41"/>
    <cellStyle name="_SubHeading" xfId="42"/>
    <cellStyle name="_SubHeading_WACC" xfId="43"/>
    <cellStyle name="_SuperHead" xfId="44"/>
    <cellStyle name="_Table" xfId="45"/>
    <cellStyle name="_Table_WACC" xfId="46"/>
    <cellStyle name="_TableHead" xfId="47"/>
    <cellStyle name="_TableHead_WACC" xfId="48"/>
    <cellStyle name="_TableRowHead" xfId="49"/>
    <cellStyle name="_TableRowHead_WACC" xfId="50"/>
    <cellStyle name="_TableSuperHead" xfId="51"/>
    <cellStyle name="_TableSuperHead_Wholesale FA Op Model (2)" xfId="52"/>
    <cellStyle name="+/-" xfId="53"/>
    <cellStyle name="0.0 aligned" xfId="54"/>
    <cellStyle name="0.00 aligned" xfId="55"/>
    <cellStyle name="2-units" xfId="56"/>
    <cellStyle name="A" xfId="57"/>
    <cellStyle name="A_Normal" xfId="58"/>
    <cellStyle name="A_YearHeadings" xfId="59"/>
    <cellStyle name="Accounting" xfId="60"/>
    <cellStyle name="Accounting [0]" xfId="61"/>
    <cellStyle name="Accounting [1]" xfId="62"/>
    <cellStyle name="Accounting[0]" xfId="63"/>
    <cellStyle name="AFE" xfId="64"/>
    <cellStyle name="Agara" xfId="65"/>
    <cellStyle name="Alert" xfId="66"/>
    <cellStyle name="Arial 10" xfId="67"/>
    <cellStyle name="Arial 12" xfId="68"/>
    <cellStyle name="Array" xfId="69"/>
    <cellStyle name="Array Enter" xfId="70"/>
    <cellStyle name="A-Título" xfId="71"/>
    <cellStyle name="b" xfId="72"/>
    <cellStyle name="b." xfId="73"/>
    <cellStyle name="b_BSY_Emory_PGTV comps 02_18_03" xfId="74"/>
    <cellStyle name="b_CoreCableSatellite_comps_Media v.2" xfId="75"/>
    <cellStyle name="b_WACC" xfId="76"/>
    <cellStyle name="Blank [$]" xfId="77"/>
    <cellStyle name="Blank [,]" xfId="78"/>
    <cellStyle name="Blank [1%]" xfId="79"/>
    <cellStyle name="Blank [2%]" xfId="80"/>
    <cellStyle name="Blue" xfId="81"/>
    <cellStyle name="blue$00" xfId="82"/>
    <cellStyle name="Boolean" xfId="83"/>
    <cellStyle name="Border Heavy" xfId="84"/>
    <cellStyle name="Border Thin" xfId="85"/>
    <cellStyle name="British Pound" xfId="86"/>
    <cellStyle name="B-Título" xfId="87"/>
    <cellStyle name="bullet" xfId="88"/>
    <cellStyle name="Case" xfId="89"/>
    <cellStyle name="CenterHead" xfId="90"/>
    <cellStyle name="ChartingText" xfId="91"/>
    <cellStyle name="ColHeader" xfId="92"/>
    <cellStyle name="column1Big" xfId="93"/>
    <cellStyle name="column1Date" xfId="94"/>
    <cellStyle name="ColumnHeaderNormal" xfId="95"/>
    <cellStyle name="Comma  - Style1" xfId="96"/>
    <cellStyle name="Comma  - Style2" xfId="97"/>
    <cellStyle name="Comma  - Style3" xfId="98"/>
    <cellStyle name="Comma  - Style4" xfId="99"/>
    <cellStyle name="Comma  - Style5" xfId="100"/>
    <cellStyle name="Comma  - Style6" xfId="101"/>
    <cellStyle name="Comma  - Style7" xfId="102"/>
    <cellStyle name="Comma  - Style8" xfId="103"/>
    <cellStyle name="Comma (1)_cedar model v2" xfId="104"/>
    <cellStyle name="comma [1]" xfId="105"/>
    <cellStyle name="Comma 0" xfId="106"/>
    <cellStyle name="Comma 0*" xfId="107"/>
    <cellStyle name="Comma 2" xfId="108"/>
    <cellStyle name="Comma 2 2" xfId="109"/>
    <cellStyle name="Comma 2*" xfId="110"/>
    <cellStyle name="Comma 3" xfId="111"/>
    <cellStyle name="Comma 3*" xfId="112"/>
    <cellStyle name="Comma 4" xfId="113"/>
    <cellStyle name="Comma 5" xfId="114"/>
    <cellStyle name="Comma, 0 Dec, Parens, Zero -" xfId="115"/>
    <cellStyle name="Comma0" xfId="116"/>
    <cellStyle name="comma3" xfId="117"/>
    <cellStyle name="comps" xfId="118"/>
    <cellStyle name="COVERAGE" xfId="119"/>
    <cellStyle name="Currency (no dec.)" xfId="120"/>
    <cellStyle name="Currency [00]" xfId="121"/>
    <cellStyle name="Currency [1]" xfId="122"/>
    <cellStyle name="Currency 0" xfId="123"/>
    <cellStyle name="Currency 1" xfId="124"/>
    <cellStyle name="Currency 2" xfId="125"/>
    <cellStyle name="Currency 2*" xfId="126"/>
    <cellStyle name="Currency 2_Hilding comps10.8.08v1" xfId="127"/>
    <cellStyle name="Currency 3*" xfId="128"/>
    <cellStyle name="Currency0" xfId="129"/>
    <cellStyle name="currnecy" xfId="130"/>
    <cellStyle name="d" xfId="131"/>
    <cellStyle name="dash" xfId="132"/>
    <cellStyle name="Date" xfId="133"/>
    <cellStyle name="Date [D-M-Y]" xfId="134"/>
    <cellStyle name="Date [M-Y]" xfId="135"/>
    <cellStyle name="Date Aligned" xfId="136"/>
    <cellStyle name="Date_Chattem Mgmt Case v8" xfId="137"/>
    <cellStyle name="date2" xfId="138"/>
    <cellStyle name="Day-Mon-Yr" xfId="139"/>
    <cellStyle name="days" xfId="140"/>
    <cellStyle name="Decimal Number" xfId="141"/>
    <cellStyle name="dollar_no dec_elev" xfId="142"/>
    <cellStyle name="Dotted Line" xfId="143"/>
    <cellStyle name="Double Accounting" xfId="144"/>
    <cellStyle name="DropDown" xfId="145"/>
    <cellStyle name="Euro" xfId="146"/>
    <cellStyle name="Euro-" xfId="147"/>
    <cellStyle name="Euro_Preliminary Financing Case" xfId="148"/>
    <cellStyle name="ex_ratio" xfId="149"/>
    <cellStyle name="Fixed" xfId="150"/>
    <cellStyle name="Font_Actual" xfId="151"/>
    <cellStyle name="Footnote" xfId="152"/>
    <cellStyle name="Form_Std" xfId="153"/>
    <cellStyle name="Gilsans" xfId="154"/>
    <cellStyle name="Gilsansl" xfId="155"/>
    <cellStyle name="Grey" xfId="156"/>
    <cellStyle name="hard no." xfId="157"/>
    <cellStyle name="Hard Percent" xfId="158"/>
    <cellStyle name="Hardcode" xfId="159"/>
    <cellStyle name="Header" xfId="160"/>
    <cellStyle name="Header1" xfId="161"/>
    <cellStyle name="Header2" xfId="162"/>
    <cellStyle name="Heading 1 2" xfId="163"/>
    <cellStyle name="Heading 1 3" xfId="164"/>
    <cellStyle name="Heading 2 2" xfId="165"/>
    <cellStyle name="Heading 2 3" xfId="166"/>
    <cellStyle name="Heading 3 2" xfId="167"/>
    <cellStyle name="Heading 3 3" xfId="168"/>
    <cellStyle name="Heading1" xfId="169"/>
    <cellStyle name="Heading2" xfId="170"/>
    <cellStyle name="HeadingS" xfId="171"/>
    <cellStyle name="Hidden" xfId="172"/>
    <cellStyle name="Highlight" xfId="173"/>
    <cellStyle name="Input [yellow]" xfId="174"/>
    <cellStyle name="Input 2" xfId="175"/>
    <cellStyle name="Input 3" xfId="176"/>
    <cellStyle name="Invisible" xfId="177"/>
    <cellStyle name="Left Line" xfId="178"/>
    <cellStyle name="Leftborder" xfId="179"/>
    <cellStyle name="leftStyle" xfId="180"/>
    <cellStyle name="m" xfId="181"/>
    <cellStyle name="m_WACC" xfId="182"/>
    <cellStyle name="MacroCode" xfId="183"/>
    <cellStyle name="Map Labels" xfId="184"/>
    <cellStyle name="Map Legend" xfId="185"/>
    <cellStyle name="Map Title" xfId="186"/>
    <cellStyle name="Mike" xfId="187"/>
    <cellStyle name="millions" xfId="188"/>
    <cellStyle name="millions ($)" xfId="189"/>
    <cellStyle name="millions (no dec.)" xfId="190"/>
    <cellStyle name="millions_EutelSat.(2.18.01)" xfId="191"/>
    <cellStyle name="Mine" xfId="192"/>
    <cellStyle name="Mon-Yr" xfId="193"/>
    <cellStyle name="mult" xfId="194"/>
    <cellStyle name="multiple" xfId="195"/>
    <cellStyle name="n" xfId="196"/>
    <cellStyle name="N/A" xfId="197"/>
    <cellStyle name="NewColumnHeaderNormal" xfId="198"/>
    <cellStyle name="NewSectionHeaderNormal" xfId="199"/>
    <cellStyle name="NewTitleNormal" xfId="200"/>
    <cellStyle name="NO" xfId="201"/>
    <cellStyle name="no dec" xfId="202"/>
    <cellStyle name="nomral" xfId="203"/>
    <cellStyle name="norma" xfId="204"/>
    <cellStyle name="normail" xfId="205"/>
    <cellStyle name="Normal" xfId="0" builtinId="0"/>
    <cellStyle name="normal'" xfId="206"/>
    <cellStyle name="Normal - Style1" xfId="207"/>
    <cellStyle name="Normal 2" xfId="208"/>
    <cellStyle name="Normal 2 2" xfId="209"/>
    <cellStyle name="Normal 2 2 2" xfId="210"/>
    <cellStyle name="Normal 2 2 3" xfId="211"/>
    <cellStyle name="Normal 2 3" xfId="212"/>
    <cellStyle name="Normal 2 4" xfId="213"/>
    <cellStyle name="Normal 2 5" xfId="214"/>
    <cellStyle name="Normal 2 6" xfId="215"/>
    <cellStyle name="Normal 3" xfId="216"/>
    <cellStyle name="Normal 3 2" xfId="217"/>
    <cellStyle name="Normal 4" xfId="218"/>
    <cellStyle name="normal3" xfId="219"/>
    <cellStyle name="Note 2" xfId="220"/>
    <cellStyle name="Note 3" xfId="221"/>
    <cellStyle name="Notes" xfId="222"/>
    <cellStyle name="nromal" xfId="223"/>
    <cellStyle name="Num_Date" xfId="224"/>
    <cellStyle name="number" xfId="225"/>
    <cellStyle name="Numbers - Bold - Italic" xfId="226"/>
    <cellStyle name="numPStyle" xfId="227"/>
    <cellStyle name="of" xfId="228"/>
    <cellStyle name="one dec_ten" xfId="229"/>
    <cellStyle name="one_dec" xfId="230"/>
    <cellStyle name="OnOff" xfId="231"/>
    <cellStyle name="Output Amounts" xfId="232"/>
    <cellStyle name="Output Column Headings" xfId="233"/>
    <cellStyle name="Output Line Items" xfId="234"/>
    <cellStyle name="Output Report Heading" xfId="235"/>
    <cellStyle name="Output Report Title" xfId="236"/>
    <cellStyle name="p" xfId="237"/>
    <cellStyle name="Page Heading Large" xfId="238"/>
    <cellStyle name="Page Heading Small" xfId="239"/>
    <cellStyle name="Page Number" xfId="240"/>
    <cellStyle name="Pattern_Forecast" xfId="241"/>
    <cellStyle name="percemt" xfId="242"/>
    <cellStyle name="Percent [2]" xfId="243"/>
    <cellStyle name="Percent 2" xfId="244"/>
    <cellStyle name="Percent 2 2" xfId="245"/>
    <cellStyle name="Percent 2 3" xfId="246"/>
    <cellStyle name="Percent Decimal" xfId="247"/>
    <cellStyle name="Percent Hard" xfId="248"/>
    <cellStyle name="percnet" xfId="249"/>
    <cellStyle name="prcie" xfId="250"/>
    <cellStyle name="price" xfId="251"/>
    <cellStyle name="PSChar" xfId="252"/>
    <cellStyle name="PSDate" xfId="253"/>
    <cellStyle name="PSDec" xfId="254"/>
    <cellStyle name="PSHeading" xfId="255"/>
    <cellStyle name="PSInt" xfId="256"/>
    <cellStyle name="PSSpacer" xfId="257"/>
    <cellStyle name="Red" xfId="258"/>
    <cellStyle name="Red Text" xfId="259"/>
    <cellStyle name="RowHeader" xfId="260"/>
    <cellStyle name="s" xfId="261"/>
    <cellStyle name="SectionHeaderNormal" xfId="262"/>
    <cellStyle name="Separador de milhares [0]_Assumption" xfId="263"/>
    <cellStyle name="Shaded" xfId="264"/>
    <cellStyle name="share" xfId="265"/>
    <cellStyle name="SheetSubtitle1" xfId="266"/>
    <cellStyle name="SheetSubtitle2" xfId="267"/>
    <cellStyle name="SheetSubtitle3" xfId="268"/>
    <cellStyle name="SheetSubtitle3a" xfId="269"/>
    <cellStyle name="SheetSubtitle4" xfId="270"/>
    <cellStyle name="SheetSubtitle4a" xfId="271"/>
    <cellStyle name="SheetSubtitle5" xfId="272"/>
    <cellStyle name="SheetTitle" xfId="273"/>
    <cellStyle name="Single Accounting" xfId="274"/>
    <cellStyle name="Source" xfId="275"/>
    <cellStyle name="Style 1" xfId="276"/>
    <cellStyle name="Style 2" xfId="277"/>
    <cellStyle name="Style 21" xfId="278"/>
    <cellStyle name="Style 22" xfId="279"/>
    <cellStyle name="Style 23" xfId="280"/>
    <cellStyle name="Style 24" xfId="281"/>
    <cellStyle name="Style 25" xfId="282"/>
    <cellStyle name="Style 26" xfId="283"/>
    <cellStyle name="Style 27" xfId="284"/>
    <cellStyle name="Style 28" xfId="285"/>
    <cellStyle name="Style 3" xfId="286"/>
    <cellStyle name="SubScript" xfId="287"/>
    <cellStyle name="SuperScript" xfId="288"/>
    <cellStyle name="Table Col Head" xfId="289"/>
    <cellStyle name="Table Head" xfId="290"/>
    <cellStyle name="Table Head Aligned" xfId="291"/>
    <cellStyle name="Table Head Blue" xfId="292"/>
    <cellStyle name="Table Head Green" xfId="293"/>
    <cellStyle name="Table Sub Head" xfId="294"/>
    <cellStyle name="Table Title" xfId="295"/>
    <cellStyle name="Table Units" xfId="296"/>
    <cellStyle name="Text" xfId="297"/>
    <cellStyle name="TextBold" xfId="298"/>
    <cellStyle name="TextItalic" xfId="299"/>
    <cellStyle name="TextNormal" xfId="300"/>
    <cellStyle name="þ´Ì_x0010__x000c__x0010__x0009_à_x000c__x0003__x0009_ß_x0007_ÜÉ_x0009__x0007__x0001__x0001_" xfId="301"/>
    <cellStyle name="Theirs" xfId="302"/>
    <cellStyle name="Times 10" xfId="303"/>
    <cellStyle name="Times 12" xfId="304"/>
    <cellStyle name="Times New Roman" xfId="305"/>
    <cellStyle name="Title 2" xfId="306"/>
    <cellStyle name="Title 3" xfId="307"/>
    <cellStyle name="TitleNormal" xfId="308"/>
    <cellStyle name="TopGrey" xfId="309"/>
    <cellStyle name="Total 2" xfId="310"/>
    <cellStyle name="Total 3" xfId="311"/>
    <cellStyle name="twelv_dollar_no dec_elev" xfId="312"/>
    <cellStyle name="twelve_no dec_elev" xfId="313"/>
    <cellStyle name="Under Line" xfId="314"/>
    <cellStyle name="Val_Std" xfId="315"/>
    <cellStyle name="Währung_Berechnung_Synergien_BH_Model_BH_2K07_Book8_AccDilv2.xls Chart 1" xfId="316"/>
    <cellStyle name="x" xfId="317"/>
    <cellStyle name="x [1]" xfId="318"/>
    <cellStyle name="x_ASTEC4BK" xfId="319"/>
    <cellStyle name="x_ASTEC4BK_1" xfId="320"/>
    <cellStyle name="x_ASTEC4BK_2" xfId="321"/>
    <cellStyle name="x_ASTEC4BK_2_PENT10BK.XLS Chart 1" xfId="322"/>
    <cellStyle name="x_ASTEC4BK_2_PENT10BK.XLS Chart 1_1" xfId="323"/>
    <cellStyle name="x_ASTEC4BK_2_PENT10BK.XLS Chart 1-1" xfId="324"/>
    <cellStyle name="x_ASTEC4BK_2_PENT10BK.XLS Chart 1-10" xfId="325"/>
    <cellStyle name="x_ASTEC4BK_2_PENT10BK.XLS Chart 1-11" xfId="326"/>
    <cellStyle name="x_ASTEC4BK_2_PENT10BK.XLS Chart 1-2" xfId="327"/>
    <cellStyle name="x_ASTEC4BK_2_PENT10BK.XLS Chart 1-3" xfId="328"/>
    <cellStyle name="x_ASTEC4BK_2_PENT10BK.XLS Chart 1-4" xfId="329"/>
    <cellStyle name="x_ASTEC4BK_2_PENT10BK.XLS Chart 1-5" xfId="330"/>
    <cellStyle name="x_ASTEC4BK_2_PENT10BK.XLS Chart 1-6" xfId="331"/>
    <cellStyle name="x_ASTEC4BK_2_PENT10BK.XLS Chart 1-7" xfId="332"/>
    <cellStyle name="x_ASTEC4BK_2_PENT10BK.XLS Chart 1-8" xfId="333"/>
    <cellStyle name="x_ASTEC4BK_2_PENT10BK.XLS Chart 1-9" xfId="334"/>
    <cellStyle name="x_ASTEC4BK_2_PENT10BK.XLS Chart 2" xfId="335"/>
    <cellStyle name="x_ASTEC4BK_2_PENT10BK.XLS Chart 2-1" xfId="336"/>
    <cellStyle name="x_ASTEC4BK_2_UDI4-BK" xfId="337"/>
    <cellStyle name="x_black5bk.xls Chart 1" xfId="338"/>
    <cellStyle name="x_BLACK5BK.XLS Chart 1-1" xfId="339"/>
    <cellStyle name="x_BLACK5BK.XLS Chart 1-2" xfId="340"/>
    <cellStyle name="x_UDI4-BK.xls Chart 1" xfId="341"/>
    <cellStyle name="x_UDI4-BK.XLS Chart 1_1" xfId="342"/>
    <cellStyle name="x_UDI4-BK.XLS Chart 1_1_PENT10BK.XLS Chart 1" xfId="343"/>
    <cellStyle name="x_UDI4-BK.XLS Chart 1_1_PENT10BK.XLS Chart 1_1" xfId="344"/>
    <cellStyle name="x_UDI4-BK.XLS Chart 1_1_PENT10BK.XLS Chart 1-1" xfId="345"/>
    <cellStyle name="x_UDI4-BK.XLS Chart 1_1_PENT10BK.XLS Chart 1-10" xfId="346"/>
    <cellStyle name="x_UDI4-BK.XLS Chart 1_1_PENT10BK.XLS Chart 1-11" xfId="347"/>
    <cellStyle name="x_UDI4-BK.XLS Chart 1_1_PENT10BK.XLS Chart 1-2" xfId="348"/>
    <cellStyle name="x_UDI4-BK.XLS Chart 1_1_PENT10BK.XLS Chart 1-3" xfId="349"/>
    <cellStyle name="x_UDI4-BK.XLS Chart 1_1_PENT10BK.XLS Chart 1-4" xfId="350"/>
    <cellStyle name="x_UDI4-BK.XLS Chart 1_1_PENT10BK.XLS Chart 1-5" xfId="351"/>
    <cellStyle name="x_UDI4-BK.XLS Chart 1_1_PENT10BK.XLS Chart 1-6" xfId="352"/>
    <cellStyle name="x_UDI4-BK.XLS Chart 1_1_PENT10BK.XLS Chart 1-7" xfId="353"/>
    <cellStyle name="x_UDI4-BK.XLS Chart 1_1_PENT10BK.XLS Chart 1-8" xfId="354"/>
    <cellStyle name="x_UDI4-BK.XLS Chart 1_1_PENT10BK.XLS Chart 1-9" xfId="355"/>
    <cellStyle name="x_UDI4-BK.XLS Chart 1_1_PENT10BK.XLS Chart 2" xfId="356"/>
    <cellStyle name="x_UDI4-BK.XLS Chart 1_1_PENT10BK.XLS Chart 2-1" xfId="357"/>
    <cellStyle name="x_UDI4-BK.XLS Chart 1_1_UDI4-BK" xfId="358"/>
    <cellStyle name="x_UDI4-BK.XLS Chart 1-1" xfId="359"/>
    <cellStyle name="x_UDI4-BK.XLS Chart 1-1_PENT10BK.XLS Chart 1" xfId="360"/>
    <cellStyle name="x_UDI4-BK.XLS Chart 1-1_PENT10BK.XLS Chart 1_1" xfId="361"/>
    <cellStyle name="x_UDI4-BK.XLS Chart 1-1_PENT10BK.XLS Chart 1-1" xfId="362"/>
    <cellStyle name="x_UDI4-BK.XLS Chart 1-1_PENT10BK.XLS Chart 1-10" xfId="363"/>
    <cellStyle name="x_UDI4-BK.XLS Chart 1-1_PENT10BK.XLS Chart 1-11" xfId="364"/>
    <cellStyle name="x_UDI4-BK.XLS Chart 1-1_PENT10BK.XLS Chart 1-2" xfId="365"/>
    <cellStyle name="x_UDI4-BK.XLS Chart 1-1_PENT10BK.XLS Chart 1-3" xfId="366"/>
    <cellStyle name="x_UDI4-BK.XLS Chart 1-1_PENT10BK.XLS Chart 1-4" xfId="367"/>
    <cellStyle name="x_UDI4-BK.XLS Chart 1-1_PENT10BK.XLS Chart 1-5" xfId="368"/>
    <cellStyle name="x_UDI4-BK.XLS Chart 1-1_PENT10BK.XLS Chart 1-6" xfId="369"/>
    <cellStyle name="x_UDI4-BK.XLS Chart 1-1_PENT10BK.XLS Chart 1-7" xfId="370"/>
    <cellStyle name="x_UDI4-BK.XLS Chart 1-1_PENT10BK.XLS Chart 1-8" xfId="371"/>
    <cellStyle name="x_UDI4-BK.XLS Chart 1-1_PENT10BK.XLS Chart 1-9" xfId="372"/>
    <cellStyle name="x_UDI4-BK.XLS Chart 1-1_PENT10BK.XLS Chart 2" xfId="373"/>
    <cellStyle name="x_UDI4-BK.XLS Chart 1-1_PENT10BK.XLS Chart 2-1" xfId="374"/>
    <cellStyle name="x_UDI4-BK.XLS Chart 1-1_UDI4-BK" xfId="375"/>
    <cellStyle name="Xman" xfId="376"/>
    <cellStyle name="YEAR" xfId="377"/>
    <cellStyle name="Yen" xfId="378"/>
    <cellStyle name="yn" xfId="379"/>
    <cellStyle name="標準_ARCQUOTATIONFORM226" xfId="380"/>
  </cellStyles>
  <dxfs count="0"/>
  <tableStyles count="0" defaultTableStyle="TableStyleMedium9" defaultPivotStyle="PivotStyleLight16"/>
  <colors>
    <mruColors>
      <color rgb="FF60497A"/>
      <color rgb="FF9900CC"/>
      <color rgb="FF632523"/>
      <color rgb="FF0000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0</xdr:colOff>
      <xdr:row>0</xdr:row>
      <xdr:rowOff>50800</xdr:rowOff>
    </xdr:from>
    <xdr:to>
      <xdr:col>17</xdr:col>
      <xdr:colOff>0</xdr:colOff>
      <xdr:row>1</xdr:row>
      <xdr:rowOff>165100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711200" y="50800"/>
          <a:ext cx="11569700"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a:t>- All purple cells are data inputs from Calcbench</a:t>
          </a:r>
          <a:r>
            <a:rPr lang="en-US" sz="1400" baseline="0"/>
            <a:t>; feel free to change growth and margin assumptions  (off to the right hand side of this sheet)</a:t>
          </a:r>
          <a:endParaRPr lang="en-US" sz="1400">
            <a:effectLst/>
          </a:endParaRPr>
        </a:p>
        <a:p>
          <a:pPr algn="l"/>
          <a:r>
            <a:rPr lang="en-US" sz="1100" baseline="0"/>
            <a:t> (</a:t>
          </a:r>
        </a:p>
        <a:p>
          <a:pPr algn="l"/>
          <a:endParaRPr lang="en-US" sz="1100"/>
        </a:p>
      </xdr:txBody>
    </xdr:sp>
    <xdr:clientData/>
  </xdr:twoCellAnchor>
  <xdr:twoCellAnchor>
    <xdr:from>
      <xdr:col>2</xdr:col>
      <xdr:colOff>0</xdr:colOff>
      <xdr:row>47</xdr:row>
      <xdr:rowOff>76200</xdr:rowOff>
    </xdr:from>
    <xdr:to>
      <xdr:col>17</xdr:col>
      <xdr:colOff>25400</xdr:colOff>
      <xdr:row>50</xdr:row>
      <xdr:rowOff>152400</xdr:rowOff>
    </xdr:to>
    <xdr:sp macro="" textlink="">
      <xdr:nvSpPr>
        <xdr:cNvPr id="5" name="Rectangle 4">
          <a:extLst>
            <a:ext uri="{FF2B5EF4-FFF2-40B4-BE49-F238E27FC236}">
              <a16:creationId xmlns:a16="http://schemas.microsoft.com/office/drawing/2014/main" id="{00000000-0008-0000-0000-000005000000}"/>
            </a:ext>
          </a:extLst>
        </xdr:cNvPr>
        <xdr:cNvSpPr/>
      </xdr:nvSpPr>
      <xdr:spPr>
        <a:xfrm>
          <a:off x="711200" y="9105900"/>
          <a:ext cx="11595100" cy="647700"/>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100000"/>
            </a:lnSpc>
          </a:pPr>
          <a:r>
            <a:rPr lang="en-US" sz="1400">
              <a:effectLst/>
            </a:rPr>
            <a:t>-</a:t>
          </a:r>
          <a:r>
            <a:rPr lang="en-US" sz="1400" baseline="0">
              <a:effectLst/>
            </a:rPr>
            <a:t> Please update growth and margin assumptions before proceeding with the analysis. All existing growth and margin figures act as placeholders for Company specific values - all inputs can be updated to the right of the sheet</a:t>
          </a:r>
          <a:endParaRPr lang="en-US" sz="1400">
            <a:effectLst/>
          </a:endParaRPr>
        </a:p>
      </xdr:txBody>
    </xdr:sp>
    <xdr:clientData/>
  </xdr:twoCellAnchor>
  <xdr:twoCellAnchor>
    <xdr:from>
      <xdr:col>17</xdr:col>
      <xdr:colOff>114300</xdr:colOff>
      <xdr:row>0</xdr:row>
      <xdr:rowOff>165100</xdr:rowOff>
    </xdr:from>
    <xdr:to>
      <xdr:col>18</xdr:col>
      <xdr:colOff>1193800</xdr:colOff>
      <xdr:row>1</xdr:row>
      <xdr:rowOff>63500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a:off x="12395200" y="165100"/>
          <a:ext cx="1689100" cy="88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660401</xdr:colOff>
      <xdr:row>4</xdr:row>
      <xdr:rowOff>88899</xdr:rowOff>
    </xdr:from>
    <xdr:to>
      <xdr:col>3</xdr:col>
      <xdr:colOff>675408</xdr:colOff>
      <xdr:row>20</xdr:row>
      <xdr:rowOff>51955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413743" y="669059"/>
          <a:ext cx="3097643" cy="2725305"/>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n-US" sz="1100" b="1" baseline="0"/>
            <a:t>This model contains standardized line items that allow for apples-to-apples comparisons across different companies</a:t>
          </a:r>
        </a:p>
        <a:p>
          <a:r>
            <a:rPr lang="en-US" sz="1100" b="1" baseline="0"/>
            <a:t>For "</a:t>
          </a:r>
          <a:r>
            <a:rPr lang="en-US" sz="1100" b="1" u="sng" baseline="0"/>
            <a:t>As repoted - full 3 statement models</a:t>
          </a:r>
          <a:r>
            <a:rPr lang="en-US" sz="1100" b="1" baseline="0"/>
            <a:t>", please refer to the "Premium model" demos on the homepage </a:t>
          </a:r>
          <a:r>
            <a:rPr lang="en-US" sz="1100" baseline="0"/>
            <a:t>
        </a:t>
          </a:r>
        </a:p>
        <a:p>
          <a:r>
            <a:rPr lang="en-US" sz="1100" baseline="0"/>
            <a:t>Please note that all models can be customized for formatting with additional schedules / formulas, sensitivity tables, capital structure scenarios among other items - please contact support@novo34.com if you'd like to create </a:t>
          </a:r>
          <a:r>
            <a:rPr lang="en-US" sz="1400" b="1" u="sng" baseline="0"/>
            <a:t>a customized version for your institution</a:t>
          </a:r>
          <a:endParaRPr lang="en-US" sz="1400" b="1" u="sng"/>
        </a:p>
      </xdr:txBody>
    </xdr:sp>
    <xdr:clientData/>
  </xdr:twoCellAnchor>
  <xdr:twoCellAnchor>
    <xdr:from>
      <xdr:col>2</xdr:col>
      <xdr:colOff>699492</xdr:colOff>
      <xdr:row>15</xdr:row>
      <xdr:rowOff>156270</xdr:rowOff>
    </xdr:from>
    <xdr:to>
      <xdr:col>3</xdr:col>
      <xdr:colOff>677168</xdr:colOff>
      <xdr:row>19</xdr:row>
      <xdr:rowOff>163711</xdr:rowOff>
    </xdr:to>
    <xdr:sp macro="" textlink="">
      <xdr:nvSpPr>
        <xdr:cNvPr id="3" name="Oval 2">
          <a:extLst>
            <a:ext uri="{FF2B5EF4-FFF2-40B4-BE49-F238E27FC236}">
              <a16:creationId xmlns:a16="http://schemas.microsoft.com/office/drawing/2014/main" id="{B64867B7-41A1-49A0-B45A-7D83E586602D}"/>
            </a:ext>
          </a:extLst>
        </xdr:cNvPr>
        <xdr:cNvSpPr/>
      </xdr:nvSpPr>
      <xdr:spPr>
        <a:xfrm>
          <a:off x="1443633" y="2552403"/>
          <a:ext cx="3058418" cy="721816"/>
        </a:xfrm>
        <a:prstGeom prst="ellipse">
          <a:avLst/>
        </a:prstGeom>
        <a:no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1336675</xdr:colOff>
      <xdr:row>34</xdr:row>
      <xdr:rowOff>139700</xdr:rowOff>
    </xdr:from>
    <xdr:to>
      <xdr:col>2</xdr:col>
      <xdr:colOff>3717925</xdr:colOff>
      <xdr:row>42</xdr:row>
      <xdr:rowOff>38099</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047875" y="6311900"/>
          <a:ext cx="2381250" cy="1422399"/>
        </a:xfrm>
        <a:prstGeom prst="rect">
          <a:avLst/>
        </a:prstGeom>
        <a:solidFill>
          <a:schemeClr val="accent2"/>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bg1"/>
              </a:solidFill>
            </a:rPr>
            <a:t>Feel free to  add full capital structure detail - the</a:t>
          </a:r>
          <a:r>
            <a:rPr lang="en-US" sz="1100" baseline="0">
              <a:solidFill>
                <a:schemeClr val="bg1"/>
              </a:solidFill>
            </a:rPr>
            <a:t> amort / free cash flow sweeps have already  been built on the cash flow tab</a:t>
          </a:r>
        </a:p>
        <a:p>
          <a:endParaRPr lang="en-US" sz="1100" baseline="0">
            <a:solidFill>
              <a:schemeClr val="bg1"/>
            </a:solidFill>
          </a:endParaRPr>
        </a:p>
        <a:p>
          <a:r>
            <a:rPr lang="en-US" sz="1100" baseline="0">
              <a:solidFill>
                <a:schemeClr val="bg1"/>
              </a:solidFill>
            </a:rPr>
            <a:t>Change label for term loans / bonds in column C (rows 35 to 43)</a:t>
          </a:r>
          <a:endParaRPr lang="en-US" sz="1100">
            <a:solidFill>
              <a:schemeClr val="bg1"/>
            </a:solidFill>
          </a:endParaRPr>
        </a:p>
      </xdr:txBody>
    </xdr:sp>
    <xdr:clientData/>
  </xdr:twoCellAnchor>
  <xdr:twoCellAnchor>
    <xdr:from>
      <xdr:col>2</xdr:col>
      <xdr:colOff>0</xdr:colOff>
      <xdr:row>0</xdr:row>
      <xdr:rowOff>63500</xdr:rowOff>
    </xdr:from>
    <xdr:to>
      <xdr:col>14</xdr:col>
      <xdr:colOff>711200</xdr:colOff>
      <xdr:row>1</xdr:row>
      <xdr:rowOff>114300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711200" y="63500"/>
          <a:ext cx="13893800" cy="241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Most of the calculations are done on the</a:t>
          </a:r>
          <a:r>
            <a:rPr lang="en-US" sz="1100" baseline="0"/>
            <a:t> cash flow and working capital sheets (follow the green cells to the source sheets)</a:t>
          </a:r>
          <a:endParaRPr lang="en-US">
            <a:effectLst/>
          </a:endParaRPr>
        </a:p>
        <a:p>
          <a:pPr algn="l"/>
          <a:endParaRPr lang="en-US" sz="1100" baseline="0"/>
        </a:p>
        <a:p>
          <a:pPr algn="l"/>
          <a:endParaRPr lang="en-US" sz="1100"/>
        </a:p>
      </xdr:txBody>
    </xdr:sp>
    <xdr:clientData/>
  </xdr:twoCellAnchor>
  <xdr:twoCellAnchor>
    <xdr:from>
      <xdr:col>2</xdr:col>
      <xdr:colOff>152400</xdr:colOff>
      <xdr:row>62</xdr:row>
      <xdr:rowOff>0</xdr:rowOff>
    </xdr:from>
    <xdr:to>
      <xdr:col>3</xdr:col>
      <xdr:colOff>177800</xdr:colOff>
      <xdr:row>63</xdr:row>
      <xdr:rowOff>25400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63600" y="11887200"/>
          <a:ext cx="5245100" cy="2159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The</a:t>
          </a:r>
          <a:r>
            <a:rPr lang="en-US" sz="1100" baseline="0"/>
            <a:t> balance sheet may not balance exactly due to rounding in historical data</a:t>
          </a:r>
        </a:p>
        <a:p>
          <a:pPr algn="l"/>
          <a:endParaRPr lang="en-US" sz="1100"/>
        </a:p>
      </xdr:txBody>
    </xdr:sp>
    <xdr:clientData/>
  </xdr:twoCellAnchor>
  <xdr:twoCellAnchor>
    <xdr:from>
      <xdr:col>3</xdr:col>
      <xdr:colOff>177800</xdr:colOff>
      <xdr:row>60</xdr:row>
      <xdr:rowOff>114300</xdr:rowOff>
    </xdr:from>
    <xdr:to>
      <xdr:col>3</xdr:col>
      <xdr:colOff>673100</xdr:colOff>
      <xdr:row>62</xdr:row>
      <xdr:rowOff>107950</xdr:rowOff>
    </xdr:to>
    <xdr:cxnSp macro="">
      <xdr:nvCxnSpPr>
        <xdr:cNvPr id="5" name="Straight Arrow Connector 4">
          <a:extLst>
            <a:ext uri="{FF2B5EF4-FFF2-40B4-BE49-F238E27FC236}">
              <a16:creationId xmlns:a16="http://schemas.microsoft.com/office/drawing/2014/main" id="{00000000-0008-0000-0100-000005000000}"/>
            </a:ext>
          </a:extLst>
        </xdr:cNvPr>
        <xdr:cNvCxnSpPr>
          <a:stCxn id="4" idx="3"/>
        </xdr:cNvCxnSpPr>
      </xdr:nvCxnSpPr>
      <xdr:spPr>
        <a:xfrm flipV="1">
          <a:off x="6108700" y="11620500"/>
          <a:ext cx="495300" cy="374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177800</xdr:colOff>
      <xdr:row>60</xdr:row>
      <xdr:rowOff>50800</xdr:rowOff>
    </xdr:from>
    <xdr:to>
      <xdr:col>4</xdr:col>
      <xdr:colOff>584200</xdr:colOff>
      <xdr:row>62</xdr:row>
      <xdr:rowOff>107950</xdr:rowOff>
    </xdr:to>
    <xdr:cxnSp macro="">
      <xdr:nvCxnSpPr>
        <xdr:cNvPr id="6" name="Straight Arrow Connector 5">
          <a:extLst>
            <a:ext uri="{FF2B5EF4-FFF2-40B4-BE49-F238E27FC236}">
              <a16:creationId xmlns:a16="http://schemas.microsoft.com/office/drawing/2014/main" id="{00000000-0008-0000-0100-000006000000}"/>
            </a:ext>
          </a:extLst>
        </xdr:cNvPr>
        <xdr:cNvCxnSpPr>
          <a:stCxn id="4" idx="3"/>
        </xdr:cNvCxnSpPr>
      </xdr:nvCxnSpPr>
      <xdr:spPr>
        <a:xfrm flipV="1">
          <a:off x="6108700" y="11557000"/>
          <a:ext cx="1130300" cy="4381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635000</xdr:colOff>
      <xdr:row>34</xdr:row>
      <xdr:rowOff>127000</xdr:rowOff>
    </xdr:from>
    <xdr:to>
      <xdr:col>2</xdr:col>
      <xdr:colOff>1143000</xdr:colOff>
      <xdr:row>42</xdr:row>
      <xdr:rowOff>0</xdr:rowOff>
    </xdr:to>
    <xdr:sp macro="" textlink="">
      <xdr:nvSpPr>
        <xdr:cNvPr id="8" name="Right Brace 7">
          <a:extLst>
            <a:ext uri="{FF2B5EF4-FFF2-40B4-BE49-F238E27FC236}">
              <a16:creationId xmlns:a16="http://schemas.microsoft.com/office/drawing/2014/main" id="{00000000-0008-0000-0100-000008000000}"/>
            </a:ext>
          </a:extLst>
        </xdr:cNvPr>
        <xdr:cNvSpPr/>
      </xdr:nvSpPr>
      <xdr:spPr>
        <a:xfrm>
          <a:off x="1346200" y="6299200"/>
          <a:ext cx="508000" cy="13970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2</xdr:col>
      <xdr:colOff>3898900</xdr:colOff>
      <xdr:row>34</xdr:row>
      <xdr:rowOff>114300</xdr:rowOff>
    </xdr:from>
    <xdr:to>
      <xdr:col>2</xdr:col>
      <xdr:colOff>4597400</xdr:colOff>
      <xdr:row>42</xdr:row>
      <xdr:rowOff>25400</xdr:rowOff>
    </xdr:to>
    <xdr:sp macro="" textlink="">
      <xdr:nvSpPr>
        <xdr:cNvPr id="9" name="Left Brace 8">
          <a:extLst>
            <a:ext uri="{FF2B5EF4-FFF2-40B4-BE49-F238E27FC236}">
              <a16:creationId xmlns:a16="http://schemas.microsoft.com/office/drawing/2014/main" id="{00000000-0008-0000-0100-000009000000}"/>
            </a:ext>
          </a:extLst>
        </xdr:cNvPr>
        <xdr:cNvSpPr/>
      </xdr:nvSpPr>
      <xdr:spPr>
        <a:xfrm>
          <a:off x="4610100" y="6286500"/>
          <a:ext cx="698500" cy="14351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2</xdr:col>
      <xdr:colOff>1905000</xdr:colOff>
      <xdr:row>11</xdr:row>
      <xdr:rowOff>101600</xdr:rowOff>
    </xdr:from>
    <xdr:to>
      <xdr:col>2</xdr:col>
      <xdr:colOff>4013200</xdr:colOff>
      <xdr:row>15</xdr:row>
      <xdr:rowOff>114300</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2616200" y="1892300"/>
          <a:ext cx="2108200" cy="774700"/>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t"/>
        <a:lstStyle/>
        <a:p>
          <a:r>
            <a:rPr lang="en-US" sz="1100" b="1" baseline="0"/>
            <a:t>Detailed "as reported" historical balance sheet, directly from the SEC filings is included on the "BS detailed" sheet</a:t>
          </a:r>
          <a:r>
            <a:rPr lang="en-US" sz="1100" baseline="0"/>
            <a:t>
            </a:t>
          </a:r>
          <a:endParaRPr lang="en-US" sz="1100"/>
        </a:p>
      </xdr:txBody>
    </xdr:sp>
    <xdr:clientData/>
  </xdr:twoCellAnchor>
  <xdr:twoCellAnchor>
    <xdr:from>
      <xdr:col>15</xdr:col>
      <xdr:colOff>203200</xdr:colOff>
      <xdr:row>7</xdr:row>
      <xdr:rowOff>101600</xdr:rowOff>
    </xdr:from>
    <xdr:to>
      <xdr:col>20</xdr:col>
      <xdr:colOff>393700</xdr:colOff>
      <xdr:row>9</xdr:row>
      <xdr:rowOff>25400</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14846300" y="1130300"/>
          <a:ext cx="3238500"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Model only projects combined cash amounts</a:t>
          </a:r>
          <a:endParaRPr lang="en-US">
            <a:effectLst/>
          </a:endParaRPr>
        </a:p>
        <a:p>
          <a:pPr algn="l"/>
          <a:endParaRPr lang="en-US" sz="1100" baseline="0"/>
        </a:p>
        <a:p>
          <a:pPr algn="l"/>
          <a:endParaRPr lang="en-US" sz="1100"/>
        </a:p>
      </xdr:txBody>
    </xdr:sp>
    <xdr:clientData/>
  </xdr:twoCellAnchor>
  <xdr:twoCellAnchor>
    <xdr:from>
      <xdr:col>15</xdr:col>
      <xdr:colOff>203200</xdr:colOff>
      <xdr:row>11</xdr:row>
      <xdr:rowOff>25400</xdr:rowOff>
    </xdr:from>
    <xdr:to>
      <xdr:col>20</xdr:col>
      <xdr:colOff>393700</xdr:colOff>
      <xdr:row>12</xdr:row>
      <xdr:rowOff>139700</xdr:rowOff>
    </xdr:to>
    <xdr:sp macro="" textlink="">
      <xdr:nvSpPr>
        <xdr:cNvPr id="12" name="Rectangle 11">
          <a:extLst>
            <a:ext uri="{FF2B5EF4-FFF2-40B4-BE49-F238E27FC236}">
              <a16:creationId xmlns:a16="http://schemas.microsoft.com/office/drawing/2014/main" id="{00000000-0008-0000-0100-00000C000000}"/>
            </a:ext>
          </a:extLst>
        </xdr:cNvPr>
        <xdr:cNvSpPr/>
      </xdr:nvSpPr>
      <xdr:spPr>
        <a:xfrm>
          <a:off x="14846300" y="1816100"/>
          <a:ext cx="3238500"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Current</a:t>
          </a:r>
          <a:r>
            <a:rPr lang="en-US" sz="1100" baseline="0"/>
            <a:t> assets are projected on the "WC" sheet</a:t>
          </a:r>
        </a:p>
        <a:p>
          <a:pPr algn="l"/>
          <a:endParaRPr lang="en-US" sz="1100"/>
        </a:p>
      </xdr:txBody>
    </xdr:sp>
    <xdr:clientData/>
  </xdr:twoCellAnchor>
  <xdr:twoCellAnchor>
    <xdr:from>
      <xdr:col>15</xdr:col>
      <xdr:colOff>215900</xdr:colOff>
      <xdr:row>18</xdr:row>
      <xdr:rowOff>12700</xdr:rowOff>
    </xdr:from>
    <xdr:to>
      <xdr:col>20</xdr:col>
      <xdr:colOff>406400</xdr:colOff>
      <xdr:row>20</xdr:row>
      <xdr:rowOff>114300</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14859000" y="3136900"/>
          <a:ext cx="3238500" cy="482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PP&amp;E</a:t>
          </a:r>
          <a:r>
            <a:rPr lang="en-US" sz="1100" baseline="0"/>
            <a:t> and other long-term assets are projected on the "CF" sheet</a:t>
          </a:r>
        </a:p>
        <a:p>
          <a:pPr algn="l"/>
          <a:endParaRPr lang="en-US" sz="1100"/>
        </a:p>
      </xdr:txBody>
    </xdr:sp>
    <xdr:clientData/>
  </xdr:twoCellAnchor>
  <xdr:twoCellAnchor>
    <xdr:from>
      <xdr:col>15</xdr:col>
      <xdr:colOff>190500</xdr:colOff>
      <xdr:row>28</xdr:row>
      <xdr:rowOff>0</xdr:rowOff>
    </xdr:from>
    <xdr:to>
      <xdr:col>20</xdr:col>
      <xdr:colOff>381000</xdr:colOff>
      <xdr:row>29</xdr:row>
      <xdr:rowOff>114300</xdr:rowOff>
    </xdr:to>
    <xdr:sp macro="" textlink="">
      <xdr:nvSpPr>
        <xdr:cNvPr id="14" name="Rectangle 13">
          <a:extLst>
            <a:ext uri="{FF2B5EF4-FFF2-40B4-BE49-F238E27FC236}">
              <a16:creationId xmlns:a16="http://schemas.microsoft.com/office/drawing/2014/main" id="{00000000-0008-0000-0100-00000E000000}"/>
            </a:ext>
          </a:extLst>
        </xdr:cNvPr>
        <xdr:cNvSpPr/>
      </xdr:nvSpPr>
      <xdr:spPr>
        <a:xfrm>
          <a:off x="14833600" y="5029200"/>
          <a:ext cx="3238500"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Current</a:t>
          </a:r>
          <a:r>
            <a:rPr lang="en-US" sz="1100" baseline="0"/>
            <a:t> liabilities are projected on the "WC" sheet</a:t>
          </a:r>
        </a:p>
        <a:p>
          <a:pPr algn="l"/>
          <a:endParaRPr lang="en-US" sz="1100"/>
        </a:p>
      </xdr:txBody>
    </xdr:sp>
    <xdr:clientData/>
  </xdr:twoCellAnchor>
  <xdr:twoCellAnchor>
    <xdr:from>
      <xdr:col>15</xdr:col>
      <xdr:colOff>203200</xdr:colOff>
      <xdr:row>32</xdr:row>
      <xdr:rowOff>177800</xdr:rowOff>
    </xdr:from>
    <xdr:to>
      <xdr:col>20</xdr:col>
      <xdr:colOff>393700</xdr:colOff>
      <xdr:row>35</xdr:row>
      <xdr:rowOff>88900</xdr:rowOff>
    </xdr:to>
    <xdr:sp macro="" textlink="">
      <xdr:nvSpPr>
        <xdr:cNvPr id="15" name="Rectangle 14">
          <a:extLst>
            <a:ext uri="{FF2B5EF4-FFF2-40B4-BE49-F238E27FC236}">
              <a16:creationId xmlns:a16="http://schemas.microsoft.com/office/drawing/2014/main" id="{00000000-0008-0000-0100-00000F000000}"/>
            </a:ext>
          </a:extLst>
        </xdr:cNvPr>
        <xdr:cNvSpPr/>
      </xdr:nvSpPr>
      <xdr:spPr>
        <a:xfrm>
          <a:off x="14846300" y="5969000"/>
          <a:ext cx="3238500" cy="482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Detailed</a:t>
          </a:r>
          <a:r>
            <a:rPr lang="en-US" sz="1100" baseline="0"/>
            <a:t>  debt and interest schedules can be found on the "CF" sheet</a:t>
          </a:r>
        </a:p>
        <a:p>
          <a:pPr algn="l"/>
          <a:endParaRPr lang="en-US" sz="1100"/>
        </a:p>
      </xdr:txBody>
    </xdr:sp>
    <xdr:clientData/>
  </xdr:twoCellAnchor>
  <xdr:twoCellAnchor>
    <xdr:from>
      <xdr:col>15</xdr:col>
      <xdr:colOff>203200</xdr:colOff>
      <xdr:row>45</xdr:row>
      <xdr:rowOff>38100</xdr:rowOff>
    </xdr:from>
    <xdr:to>
      <xdr:col>20</xdr:col>
      <xdr:colOff>393700</xdr:colOff>
      <xdr:row>48</xdr:row>
      <xdr:rowOff>38100</xdr:rowOff>
    </xdr:to>
    <xdr:sp macro="" textlink="">
      <xdr:nvSpPr>
        <xdr:cNvPr id="16" name="Rectangle 15">
          <a:extLst>
            <a:ext uri="{FF2B5EF4-FFF2-40B4-BE49-F238E27FC236}">
              <a16:creationId xmlns:a16="http://schemas.microsoft.com/office/drawing/2014/main" id="{00000000-0008-0000-0100-000010000000}"/>
            </a:ext>
          </a:extLst>
        </xdr:cNvPr>
        <xdr:cNvSpPr/>
      </xdr:nvSpPr>
      <xdr:spPr>
        <a:xfrm>
          <a:off x="14846300" y="8305800"/>
          <a:ext cx="3238500" cy="5715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Long-term</a:t>
          </a:r>
          <a:r>
            <a:rPr lang="en-US" sz="1100" baseline="0"/>
            <a:t> liabilities  are projected on the "CF" sheet"</a:t>
          </a:r>
        </a:p>
        <a:p>
          <a:pPr algn="l"/>
          <a:endParaRPr lang="en-US" sz="1100"/>
        </a:p>
      </xdr:txBody>
    </xdr:sp>
    <xdr:clientData/>
  </xdr:twoCellAnchor>
  <xdr:twoCellAnchor>
    <xdr:from>
      <xdr:col>15</xdr:col>
      <xdr:colOff>228600</xdr:colOff>
      <xdr:row>52</xdr:row>
      <xdr:rowOff>152400</xdr:rowOff>
    </xdr:from>
    <xdr:to>
      <xdr:col>20</xdr:col>
      <xdr:colOff>419100</xdr:colOff>
      <xdr:row>55</xdr:row>
      <xdr:rowOff>0</xdr:rowOff>
    </xdr:to>
    <xdr:sp macro="" textlink="">
      <xdr:nvSpPr>
        <xdr:cNvPr id="17" name="Rectangle 16">
          <a:extLst>
            <a:ext uri="{FF2B5EF4-FFF2-40B4-BE49-F238E27FC236}">
              <a16:creationId xmlns:a16="http://schemas.microsoft.com/office/drawing/2014/main" id="{00000000-0008-0000-0100-000011000000}"/>
            </a:ext>
          </a:extLst>
        </xdr:cNvPr>
        <xdr:cNvSpPr/>
      </xdr:nvSpPr>
      <xdr:spPr>
        <a:xfrm>
          <a:off x="14871700" y="9753600"/>
          <a:ext cx="3238500" cy="4191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Shareholders' equity is projected on the "CF" sheet</a:t>
          </a:r>
          <a:endParaRPr lang="en-US" sz="1100" baseline="0"/>
        </a:p>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114300</xdr:colOff>
      <xdr:row>3</xdr:row>
      <xdr:rowOff>0</xdr:rowOff>
    </xdr:from>
    <xdr:to>
      <xdr:col>19</xdr:col>
      <xdr:colOff>266700</xdr:colOff>
      <xdr:row>8</xdr:row>
      <xdr:rowOff>0</xdr:rowOff>
    </xdr:to>
    <xdr:sp macro="" textlink="">
      <xdr:nvSpPr>
        <xdr:cNvPr id="16" name="Rectangle 15">
          <a:extLst>
            <a:ext uri="{FF2B5EF4-FFF2-40B4-BE49-F238E27FC236}">
              <a16:creationId xmlns:a16="http://schemas.microsoft.com/office/drawing/2014/main" id="{00000000-0008-0000-0200-000010000000}"/>
            </a:ext>
          </a:extLst>
        </xdr:cNvPr>
        <xdr:cNvSpPr/>
      </xdr:nvSpPr>
      <xdr:spPr>
        <a:xfrm>
          <a:off x="14605000" y="571500"/>
          <a:ext cx="3238500" cy="647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This is the free</a:t>
          </a:r>
          <a:r>
            <a:rPr lang="en-US" sz="1100" baseline="0"/>
            <a:t> cashflow build up (includes interest, change in working capital, taxes, change in long-term assets  &amp;liabilities, and capex)</a:t>
          </a:r>
          <a:endParaRPr lang="en-US">
            <a:effectLst/>
          </a:endParaRPr>
        </a:p>
        <a:p>
          <a:pPr algn="l"/>
          <a:endParaRPr lang="en-US" sz="1100" baseline="0"/>
        </a:p>
        <a:p>
          <a:pPr algn="l"/>
          <a:endParaRPr lang="en-US" sz="1100"/>
        </a:p>
      </xdr:txBody>
    </xdr:sp>
    <xdr:clientData/>
  </xdr:twoCellAnchor>
  <xdr:twoCellAnchor>
    <xdr:from>
      <xdr:col>15</xdr:col>
      <xdr:colOff>127000</xdr:colOff>
      <xdr:row>18</xdr:row>
      <xdr:rowOff>0</xdr:rowOff>
    </xdr:from>
    <xdr:to>
      <xdr:col>19</xdr:col>
      <xdr:colOff>279400</xdr:colOff>
      <xdr:row>23</xdr:row>
      <xdr:rowOff>0</xdr:rowOff>
    </xdr:to>
    <xdr:sp macro="" textlink="">
      <xdr:nvSpPr>
        <xdr:cNvPr id="17" name="Rectangle 16">
          <a:extLst>
            <a:ext uri="{FF2B5EF4-FFF2-40B4-BE49-F238E27FC236}">
              <a16:creationId xmlns:a16="http://schemas.microsoft.com/office/drawing/2014/main" id="{00000000-0008-0000-0200-000011000000}"/>
            </a:ext>
          </a:extLst>
        </xdr:cNvPr>
        <xdr:cNvSpPr/>
      </xdr:nvSpPr>
      <xdr:spPr>
        <a:xfrm>
          <a:off x="14617700" y="3124200"/>
          <a:ext cx="3238500" cy="647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Enter the final maturity and amortization schedule in the blue cells (should be positive numbers)</a:t>
          </a:r>
          <a:endParaRPr lang="en-US">
            <a:effectLst/>
          </a:endParaRPr>
        </a:p>
        <a:p>
          <a:pPr algn="l"/>
          <a:endParaRPr lang="en-US" sz="1100" baseline="0"/>
        </a:p>
        <a:p>
          <a:pPr algn="l"/>
          <a:endParaRPr lang="en-US" sz="1100"/>
        </a:p>
      </xdr:txBody>
    </xdr:sp>
    <xdr:clientData/>
  </xdr:twoCellAnchor>
  <xdr:twoCellAnchor>
    <xdr:from>
      <xdr:col>15</xdr:col>
      <xdr:colOff>152400</xdr:colOff>
      <xdr:row>34</xdr:row>
      <xdr:rowOff>25400</xdr:rowOff>
    </xdr:from>
    <xdr:to>
      <xdr:col>19</xdr:col>
      <xdr:colOff>304800</xdr:colOff>
      <xdr:row>38</xdr:row>
      <xdr:rowOff>63500</xdr:rowOff>
    </xdr:to>
    <xdr:sp macro="" textlink="">
      <xdr:nvSpPr>
        <xdr:cNvPr id="18" name="Rectangle 17">
          <a:extLst>
            <a:ext uri="{FF2B5EF4-FFF2-40B4-BE49-F238E27FC236}">
              <a16:creationId xmlns:a16="http://schemas.microsoft.com/office/drawing/2014/main" id="{00000000-0008-0000-0200-000012000000}"/>
            </a:ext>
          </a:extLst>
        </xdr:cNvPr>
        <xdr:cNvSpPr/>
      </xdr:nvSpPr>
      <xdr:spPr>
        <a:xfrm>
          <a:off x="14643100" y="5740400"/>
          <a:ext cx="3238500" cy="6477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This schedule accounts for any prepayments ahead of the amortization</a:t>
          </a:r>
          <a:r>
            <a:rPr lang="en-US" sz="1100" baseline="0"/>
            <a:t> schedule, and should not be edited</a:t>
          </a:r>
          <a:r>
            <a:rPr lang="en-US" sz="1100"/>
            <a:t>
            </a:t>
          </a:r>
          <a:endParaRPr lang="en-US">
            <a:effectLst/>
          </a:endParaRPr>
        </a:p>
        <a:p>
          <a:pPr algn="l"/>
          <a:endParaRPr lang="en-US" sz="1100" baseline="0"/>
        </a:p>
        <a:p>
          <a:pPr algn="l"/>
          <a:endParaRPr lang="en-US" sz="1100"/>
        </a:p>
      </xdr:txBody>
    </xdr:sp>
    <xdr:clientData/>
  </xdr:twoCellAnchor>
  <xdr:twoCellAnchor>
    <xdr:from>
      <xdr:col>15</xdr:col>
      <xdr:colOff>152400</xdr:colOff>
      <xdr:row>47</xdr:row>
      <xdr:rowOff>165100</xdr:rowOff>
    </xdr:from>
    <xdr:to>
      <xdr:col>19</xdr:col>
      <xdr:colOff>304800</xdr:colOff>
      <xdr:row>51</xdr:row>
      <xdr:rowOff>76200</xdr:rowOff>
    </xdr:to>
    <xdr:sp macro="" textlink="">
      <xdr:nvSpPr>
        <xdr:cNvPr id="19" name="Rectangle 18">
          <a:extLst>
            <a:ext uri="{FF2B5EF4-FFF2-40B4-BE49-F238E27FC236}">
              <a16:creationId xmlns:a16="http://schemas.microsoft.com/office/drawing/2014/main" id="{00000000-0008-0000-0200-000013000000}"/>
            </a:ext>
          </a:extLst>
        </xdr:cNvPr>
        <xdr:cNvSpPr/>
      </xdr:nvSpPr>
      <xdr:spPr>
        <a:xfrm>
          <a:off x="14643100" y="8204200"/>
          <a:ext cx="3238500" cy="368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Calculate how much excess cash flow is available</a:t>
          </a:r>
          <a:endParaRPr lang="en-US">
            <a:effectLst/>
          </a:endParaRPr>
        </a:p>
        <a:p>
          <a:pPr algn="l"/>
          <a:endParaRPr lang="en-US" sz="1100" baseline="0"/>
        </a:p>
        <a:p>
          <a:pPr algn="l"/>
          <a:endParaRPr lang="en-US" sz="1100"/>
        </a:p>
      </xdr:txBody>
    </xdr:sp>
    <xdr:clientData/>
  </xdr:twoCellAnchor>
  <xdr:twoCellAnchor>
    <xdr:from>
      <xdr:col>1</xdr:col>
      <xdr:colOff>3009900</xdr:colOff>
      <xdr:row>63</xdr:row>
      <xdr:rowOff>88900</xdr:rowOff>
    </xdr:from>
    <xdr:to>
      <xdr:col>3</xdr:col>
      <xdr:colOff>431800</xdr:colOff>
      <xdr:row>70</xdr:row>
      <xdr:rowOff>12700</xdr:rowOff>
    </xdr:to>
    <xdr:sp macro="" textlink="">
      <xdr:nvSpPr>
        <xdr:cNvPr id="20" name="Rectangle 19">
          <a:extLst>
            <a:ext uri="{FF2B5EF4-FFF2-40B4-BE49-F238E27FC236}">
              <a16:creationId xmlns:a16="http://schemas.microsoft.com/office/drawing/2014/main" id="{00000000-0008-0000-0200-000014000000}"/>
            </a:ext>
          </a:extLst>
        </xdr:cNvPr>
        <xdr:cNvSpPr/>
      </xdr:nvSpPr>
      <xdr:spPr>
        <a:xfrm>
          <a:off x="3619500" y="10566400"/>
          <a:ext cx="1397000" cy="1257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Type</a:t>
          </a:r>
          <a:r>
            <a:rPr lang="en-US" sz="1100" baseline="0"/>
            <a:t> "1" to make the cells prepayable, otherwise type " 0" in the cells for bonds and other non-prepayable debt</a:t>
          </a:r>
        </a:p>
        <a:p>
          <a:pPr algn="l"/>
          <a:endParaRPr lang="en-US" sz="1100"/>
        </a:p>
      </xdr:txBody>
    </xdr:sp>
    <xdr:clientData/>
  </xdr:twoCellAnchor>
  <xdr:twoCellAnchor>
    <xdr:from>
      <xdr:col>3</xdr:col>
      <xdr:colOff>431800</xdr:colOff>
      <xdr:row>63</xdr:row>
      <xdr:rowOff>57150</xdr:rowOff>
    </xdr:from>
    <xdr:to>
      <xdr:col>4</xdr:col>
      <xdr:colOff>165100</xdr:colOff>
      <xdr:row>66</xdr:row>
      <xdr:rowOff>146050</xdr:rowOff>
    </xdr:to>
    <xdr:cxnSp macro="">
      <xdr:nvCxnSpPr>
        <xdr:cNvPr id="21" name="Straight Arrow Connector 20">
          <a:extLst>
            <a:ext uri="{FF2B5EF4-FFF2-40B4-BE49-F238E27FC236}">
              <a16:creationId xmlns:a16="http://schemas.microsoft.com/office/drawing/2014/main" id="{00000000-0008-0000-0200-000015000000}"/>
            </a:ext>
          </a:extLst>
        </xdr:cNvPr>
        <xdr:cNvCxnSpPr>
          <a:stCxn id="20" idx="3"/>
          <a:endCxn id="22" idx="1"/>
        </xdr:cNvCxnSpPr>
      </xdr:nvCxnSpPr>
      <xdr:spPr>
        <a:xfrm flipV="1">
          <a:off x="5016500" y="10534650"/>
          <a:ext cx="558800" cy="6604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165100</xdr:colOff>
      <xdr:row>58</xdr:row>
      <xdr:rowOff>25400</xdr:rowOff>
    </xdr:from>
    <xdr:to>
      <xdr:col>4</xdr:col>
      <xdr:colOff>254000</xdr:colOff>
      <xdr:row>67</xdr:row>
      <xdr:rowOff>127000</xdr:rowOff>
    </xdr:to>
    <xdr:sp macro="" textlink="">
      <xdr:nvSpPr>
        <xdr:cNvPr id="22" name="Left Brace 21">
          <a:extLst>
            <a:ext uri="{FF2B5EF4-FFF2-40B4-BE49-F238E27FC236}">
              <a16:creationId xmlns:a16="http://schemas.microsoft.com/office/drawing/2014/main" id="{00000000-0008-0000-0200-000016000000}"/>
            </a:ext>
          </a:extLst>
        </xdr:cNvPr>
        <xdr:cNvSpPr/>
      </xdr:nvSpPr>
      <xdr:spPr>
        <a:xfrm>
          <a:off x="5575300" y="9702800"/>
          <a:ext cx="88900" cy="16637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xdr:col>
      <xdr:colOff>749300</xdr:colOff>
      <xdr:row>59</xdr:row>
      <xdr:rowOff>101600</xdr:rowOff>
    </xdr:from>
    <xdr:to>
      <xdr:col>1</xdr:col>
      <xdr:colOff>2933700</xdr:colOff>
      <xdr:row>63</xdr:row>
      <xdr:rowOff>25400</xdr:rowOff>
    </xdr:to>
    <xdr:sp macro="" textlink="">
      <xdr:nvSpPr>
        <xdr:cNvPr id="23" name="Rectangle 22">
          <a:extLst>
            <a:ext uri="{FF2B5EF4-FFF2-40B4-BE49-F238E27FC236}">
              <a16:creationId xmlns:a16="http://schemas.microsoft.com/office/drawing/2014/main" id="{00000000-0008-0000-0200-000017000000}"/>
            </a:ext>
          </a:extLst>
        </xdr:cNvPr>
        <xdr:cNvSpPr/>
      </xdr:nvSpPr>
      <xdr:spPr>
        <a:xfrm>
          <a:off x="1358900" y="9817100"/>
          <a:ext cx="2184400" cy="685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Determine</a:t>
          </a:r>
          <a:r>
            <a:rPr lang="en-US" sz="1100" baseline="0"/>
            <a:t> amount of available cash flow to paydown debt (0 - 100%) </a:t>
          </a:r>
        </a:p>
      </xdr:txBody>
    </xdr:sp>
    <xdr:clientData/>
  </xdr:twoCellAnchor>
  <xdr:twoCellAnchor>
    <xdr:from>
      <xdr:col>1</xdr:col>
      <xdr:colOff>2933700</xdr:colOff>
      <xdr:row>60</xdr:row>
      <xdr:rowOff>38100</xdr:rowOff>
    </xdr:from>
    <xdr:to>
      <xdr:col>3</xdr:col>
      <xdr:colOff>393700</xdr:colOff>
      <xdr:row>61</xdr:row>
      <xdr:rowOff>63500</xdr:rowOff>
    </xdr:to>
    <xdr:cxnSp macro="">
      <xdr:nvCxnSpPr>
        <xdr:cNvPr id="24" name="Straight Arrow Connector 23">
          <a:extLst>
            <a:ext uri="{FF2B5EF4-FFF2-40B4-BE49-F238E27FC236}">
              <a16:creationId xmlns:a16="http://schemas.microsoft.com/office/drawing/2014/main" id="{00000000-0008-0000-0200-000018000000}"/>
            </a:ext>
          </a:extLst>
        </xdr:cNvPr>
        <xdr:cNvCxnSpPr>
          <a:stCxn id="23" idx="3"/>
        </xdr:cNvCxnSpPr>
      </xdr:nvCxnSpPr>
      <xdr:spPr>
        <a:xfrm flipV="1">
          <a:off x="3543300" y="9944100"/>
          <a:ext cx="1435100" cy="2159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1016000</xdr:colOff>
      <xdr:row>75</xdr:row>
      <xdr:rowOff>25400</xdr:rowOff>
    </xdr:from>
    <xdr:to>
      <xdr:col>2</xdr:col>
      <xdr:colOff>50800</xdr:colOff>
      <xdr:row>78</xdr:row>
      <xdr:rowOff>139700</xdr:rowOff>
    </xdr:to>
    <xdr:sp macro="" textlink="">
      <xdr:nvSpPr>
        <xdr:cNvPr id="25" name="Rectangle 24">
          <a:extLst>
            <a:ext uri="{FF2B5EF4-FFF2-40B4-BE49-F238E27FC236}">
              <a16:creationId xmlns:a16="http://schemas.microsoft.com/office/drawing/2014/main" id="{00000000-0008-0000-0200-000019000000}"/>
            </a:ext>
          </a:extLst>
        </xdr:cNvPr>
        <xdr:cNvSpPr/>
      </xdr:nvSpPr>
      <xdr:spPr>
        <a:xfrm>
          <a:off x="1625600" y="12484100"/>
          <a:ext cx="2184400" cy="685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For floating rate debt, please</a:t>
          </a:r>
          <a:r>
            <a:rPr lang="en-US" sz="1100" baseline="0"/>
            <a:t>  type a "1" in the cell. Leave it at 0 for fixed rate data</a:t>
          </a:r>
        </a:p>
      </xdr:txBody>
    </xdr:sp>
    <xdr:clientData/>
  </xdr:twoCellAnchor>
  <xdr:twoCellAnchor>
    <xdr:from>
      <xdr:col>1</xdr:col>
      <xdr:colOff>1003300</xdr:colOff>
      <xdr:row>79</xdr:row>
      <xdr:rowOff>165100</xdr:rowOff>
    </xdr:from>
    <xdr:to>
      <xdr:col>2</xdr:col>
      <xdr:colOff>38100</xdr:colOff>
      <xdr:row>84</xdr:row>
      <xdr:rowOff>114300</xdr:rowOff>
    </xdr:to>
    <xdr:sp macro="" textlink="">
      <xdr:nvSpPr>
        <xdr:cNvPr id="34" name="Rectangle 33">
          <a:extLst>
            <a:ext uri="{FF2B5EF4-FFF2-40B4-BE49-F238E27FC236}">
              <a16:creationId xmlns:a16="http://schemas.microsoft.com/office/drawing/2014/main" id="{00000000-0008-0000-0200-000022000000}"/>
            </a:ext>
          </a:extLst>
        </xdr:cNvPr>
        <xdr:cNvSpPr/>
      </xdr:nvSpPr>
      <xdr:spPr>
        <a:xfrm>
          <a:off x="1612900" y="13385800"/>
          <a:ext cx="2184400" cy="901700"/>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Make sure iterations are turned on in Excel</a:t>
          </a:r>
        </a:p>
        <a:p>
          <a:pPr algn="l"/>
          <a:r>
            <a:rPr lang="en-US" sz="1100"/>
            <a:t>- type "1" in the cell to  allow</a:t>
          </a:r>
          <a:r>
            <a:rPr lang="en-US" sz="1100" baseline="0"/>
            <a:t>
            </a:t>
          </a:r>
          <a:r>
            <a:rPr lang="en-US" sz="1100"/>
            <a:t>interest to flow through the model </a:t>
          </a:r>
          <a:endParaRPr lang="en-US" sz="1100" baseline="0"/>
        </a:p>
      </xdr:txBody>
    </xdr:sp>
    <xdr:clientData/>
  </xdr:twoCellAnchor>
  <xdr:twoCellAnchor>
    <xdr:from>
      <xdr:col>2</xdr:col>
      <xdr:colOff>38100</xdr:colOff>
      <xdr:row>82</xdr:row>
      <xdr:rowOff>44450</xdr:rowOff>
    </xdr:from>
    <xdr:to>
      <xdr:col>3</xdr:col>
      <xdr:colOff>393700</xdr:colOff>
      <xdr:row>84</xdr:row>
      <xdr:rowOff>165100</xdr:rowOff>
    </xdr:to>
    <xdr:cxnSp macro="">
      <xdr:nvCxnSpPr>
        <xdr:cNvPr id="35" name="Straight Arrow Connector 34">
          <a:extLst>
            <a:ext uri="{FF2B5EF4-FFF2-40B4-BE49-F238E27FC236}">
              <a16:creationId xmlns:a16="http://schemas.microsoft.com/office/drawing/2014/main" id="{00000000-0008-0000-0200-000023000000}"/>
            </a:ext>
          </a:extLst>
        </xdr:cNvPr>
        <xdr:cNvCxnSpPr>
          <a:stCxn id="34" idx="3"/>
        </xdr:cNvCxnSpPr>
      </xdr:nvCxnSpPr>
      <xdr:spPr>
        <a:xfrm>
          <a:off x="3797300" y="13836650"/>
          <a:ext cx="1181100" cy="501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139700</xdr:colOff>
      <xdr:row>146</xdr:row>
      <xdr:rowOff>25400</xdr:rowOff>
    </xdr:from>
    <xdr:to>
      <xdr:col>19</xdr:col>
      <xdr:colOff>292100</xdr:colOff>
      <xdr:row>148</xdr:row>
      <xdr:rowOff>165100</xdr:rowOff>
    </xdr:to>
    <xdr:sp macro="" textlink="">
      <xdr:nvSpPr>
        <xdr:cNvPr id="38" name="Rectangle 37">
          <a:extLst>
            <a:ext uri="{FF2B5EF4-FFF2-40B4-BE49-F238E27FC236}">
              <a16:creationId xmlns:a16="http://schemas.microsoft.com/office/drawing/2014/main" id="{00000000-0008-0000-0200-000026000000}"/>
            </a:ext>
          </a:extLst>
        </xdr:cNvPr>
        <xdr:cNvSpPr/>
      </xdr:nvSpPr>
      <xdr:spPr>
        <a:xfrm>
          <a:off x="14630400" y="25819100"/>
          <a:ext cx="3238500" cy="368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Calculate</a:t>
          </a:r>
          <a:r>
            <a:rPr lang="en-US" sz="1100" baseline="0"/>
            <a:t> returns and credit materics</a:t>
          </a:r>
          <a:endParaRPr lang="en-US">
            <a:effectLst/>
          </a:endParaRPr>
        </a:p>
        <a:p>
          <a:pPr algn="l"/>
          <a:endParaRPr lang="en-US" sz="1100" baseline="0"/>
        </a:p>
        <a:p>
          <a:pPr algn="l"/>
          <a:endParaRPr lang="en-US" sz="1100"/>
        </a:p>
      </xdr:txBody>
    </xdr:sp>
    <xdr:clientData/>
  </xdr:twoCellAnchor>
  <xdr:twoCellAnchor>
    <xdr:from>
      <xdr:col>15</xdr:col>
      <xdr:colOff>139700</xdr:colOff>
      <xdr:row>73</xdr:row>
      <xdr:rowOff>25400</xdr:rowOff>
    </xdr:from>
    <xdr:to>
      <xdr:col>19</xdr:col>
      <xdr:colOff>292100</xdr:colOff>
      <xdr:row>75</xdr:row>
      <xdr:rowOff>165100</xdr:rowOff>
    </xdr:to>
    <xdr:sp macro="" textlink="">
      <xdr:nvSpPr>
        <xdr:cNvPr id="39" name="Rectangle 38">
          <a:extLst>
            <a:ext uri="{FF2B5EF4-FFF2-40B4-BE49-F238E27FC236}">
              <a16:creationId xmlns:a16="http://schemas.microsoft.com/office/drawing/2014/main" id="{00000000-0008-0000-0200-000027000000}"/>
            </a:ext>
          </a:extLst>
        </xdr:cNvPr>
        <xdr:cNvSpPr/>
      </xdr:nvSpPr>
      <xdr:spPr>
        <a:xfrm>
          <a:off x="14630400" y="12255500"/>
          <a:ext cx="3238500" cy="368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User would need to update the forward LIBOR curve</a:t>
          </a:r>
          <a:endParaRPr lang="en-US">
            <a:effectLst/>
          </a:endParaRPr>
        </a:p>
        <a:p>
          <a:pPr algn="l"/>
          <a:endParaRPr lang="en-US" sz="1100" baseline="0"/>
        </a:p>
        <a:p>
          <a:pPr algn="l"/>
          <a:endParaRPr lang="en-US" sz="1100"/>
        </a:p>
      </xdr:txBody>
    </xdr:sp>
    <xdr:clientData/>
  </xdr:twoCellAnchor>
  <xdr:twoCellAnchor>
    <xdr:from>
      <xdr:col>15</xdr:col>
      <xdr:colOff>76200</xdr:colOff>
      <xdr:row>103</xdr:row>
      <xdr:rowOff>177800</xdr:rowOff>
    </xdr:from>
    <xdr:to>
      <xdr:col>19</xdr:col>
      <xdr:colOff>228600</xdr:colOff>
      <xdr:row>106</xdr:row>
      <xdr:rowOff>88900</xdr:rowOff>
    </xdr:to>
    <xdr:sp macro="" textlink="">
      <xdr:nvSpPr>
        <xdr:cNvPr id="26" name="Rectangle 25">
          <a:extLst>
            <a:ext uri="{FF2B5EF4-FFF2-40B4-BE49-F238E27FC236}">
              <a16:creationId xmlns:a16="http://schemas.microsoft.com/office/drawing/2014/main" id="{00000000-0008-0000-0200-00001A000000}"/>
            </a:ext>
          </a:extLst>
        </xdr:cNvPr>
        <xdr:cNvSpPr/>
      </xdr:nvSpPr>
      <xdr:spPr>
        <a:xfrm>
          <a:off x="14566900" y="17360900"/>
          <a:ext cx="3238500" cy="482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Current assets have been projected on the working capital sheet </a:t>
          </a:r>
          <a:endParaRPr lang="en-US">
            <a:effectLst/>
          </a:endParaRPr>
        </a:p>
        <a:p>
          <a:pPr algn="l"/>
          <a:endParaRPr lang="en-US" sz="1100" baseline="0"/>
        </a:p>
        <a:p>
          <a:pPr algn="l"/>
          <a:endParaRPr lang="en-US" sz="1100"/>
        </a:p>
      </xdr:txBody>
    </xdr:sp>
    <xdr:clientData/>
  </xdr:twoCellAnchor>
  <xdr:twoCellAnchor>
    <xdr:from>
      <xdr:col>15</xdr:col>
      <xdr:colOff>76200</xdr:colOff>
      <xdr:row>114</xdr:row>
      <xdr:rowOff>0</xdr:rowOff>
    </xdr:from>
    <xdr:to>
      <xdr:col>19</xdr:col>
      <xdr:colOff>228600</xdr:colOff>
      <xdr:row>116</xdr:row>
      <xdr:rowOff>101600</xdr:rowOff>
    </xdr:to>
    <xdr:sp macro="" textlink="">
      <xdr:nvSpPr>
        <xdr:cNvPr id="27" name="Rectangle 26">
          <a:extLst>
            <a:ext uri="{FF2B5EF4-FFF2-40B4-BE49-F238E27FC236}">
              <a16:creationId xmlns:a16="http://schemas.microsoft.com/office/drawing/2014/main" id="{00000000-0008-0000-0200-00001B000000}"/>
            </a:ext>
          </a:extLst>
        </xdr:cNvPr>
        <xdr:cNvSpPr/>
      </xdr:nvSpPr>
      <xdr:spPr>
        <a:xfrm>
          <a:off x="14566900" y="19469100"/>
          <a:ext cx="3238500" cy="482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Current liabilities have been projected on the working capital sheet </a:t>
          </a:r>
          <a:endParaRPr lang="en-US">
            <a:effectLst/>
          </a:endParaRPr>
        </a:p>
        <a:p>
          <a:pPr algn="l"/>
          <a:endParaRPr lang="en-US" sz="1100" baseline="0"/>
        </a:p>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114300</xdr:colOff>
      <xdr:row>35</xdr:row>
      <xdr:rowOff>12700</xdr:rowOff>
    </xdr:from>
    <xdr:to>
      <xdr:col>11</xdr:col>
      <xdr:colOff>685800</xdr:colOff>
      <xdr:row>41</xdr:row>
      <xdr:rowOff>0</xdr:rowOff>
    </xdr:to>
    <xdr:sp macro="" textlink="">
      <xdr:nvSpPr>
        <xdr:cNvPr id="2" name="Rectangle 1">
          <a:extLst>
            <a:ext uri="{FF2B5EF4-FFF2-40B4-BE49-F238E27FC236}">
              <a16:creationId xmlns:a16="http://schemas.microsoft.com/office/drawing/2014/main" id="{00000000-0008-0000-0400-000002000000}"/>
            </a:ext>
          </a:extLst>
        </xdr:cNvPr>
        <xdr:cNvSpPr/>
      </xdr:nvSpPr>
      <xdr:spPr>
        <a:xfrm>
          <a:off x="7505700" y="5613400"/>
          <a:ext cx="3238500" cy="11303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DCF analysis calculates the enterprize</a:t>
          </a:r>
          <a:r>
            <a:rPr lang="en-US" sz="1100" baseline="0"/>
            <a:t> value of the Company</a:t>
          </a:r>
        </a:p>
        <a:p>
          <a:pPr algn="l"/>
          <a:r>
            <a:rPr lang="en-US" sz="1100" baseline="0">
              <a:effectLst/>
            </a:rPr>
            <a:t>- Feel free to change the perpetuity growth rate / terminal value multiple </a:t>
          </a:r>
        </a:p>
        <a:p>
          <a:pPr algn="l"/>
          <a:r>
            <a:rPr lang="en-US" sz="1100" baseline="0">
              <a:effectLst/>
            </a:rPr>
            <a:t>- You can calculate target price by dviding the Equity value by the number of  osutanding shares</a:t>
          </a:r>
        </a:p>
        <a:p>
          <a:pPr algn="l"/>
          <a:endParaRPr lang="en-US">
            <a:effectLst/>
          </a:endParaRPr>
        </a:p>
        <a:p>
          <a:pPr algn="l"/>
          <a:endParaRPr lang="en-US" sz="1100" baseline="0"/>
        </a:p>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50800</xdr:colOff>
      <xdr:row>18</xdr:row>
      <xdr:rowOff>101600</xdr:rowOff>
    </xdr:from>
    <xdr:to>
      <xdr:col>3</xdr:col>
      <xdr:colOff>38100</xdr:colOff>
      <xdr:row>21</xdr:row>
      <xdr:rowOff>177800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660400" y="3378200"/>
          <a:ext cx="3962400" cy="647700"/>
        </a:xfrm>
        <a:prstGeom prst="rect">
          <a:avLst/>
        </a:prstGeom>
        <a:solidFill>
          <a:schemeClr val="accent2"/>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bg1"/>
              </a:solidFill>
            </a:rPr>
            <a:t>-</a:t>
          </a:r>
          <a:r>
            <a:rPr lang="en-US" sz="1100" baseline="0">
              <a:solidFill>
                <a:schemeClr val="bg1"/>
              </a:solidFill>
            </a:rPr>
            <a:t> Change the purchase multiples, enter sources &amp; uses, and update interest cost below for the new capital structure to complete LBO analysis</a:t>
          </a:r>
          <a:endParaRPr lang="en-US" sz="1100">
            <a:solidFill>
              <a:schemeClr val="bg1"/>
            </a:solidFill>
          </a:endParaRPr>
        </a:p>
      </xdr:txBody>
    </xdr:sp>
    <xdr:clientData/>
  </xdr:twoCellAnchor>
  <xdr:twoCellAnchor>
    <xdr:from>
      <xdr:col>3</xdr:col>
      <xdr:colOff>38100</xdr:colOff>
      <xdr:row>8</xdr:row>
      <xdr:rowOff>152400</xdr:rowOff>
    </xdr:from>
    <xdr:to>
      <xdr:col>7</xdr:col>
      <xdr:colOff>762000</xdr:colOff>
      <xdr:row>20</xdr:row>
      <xdr:rowOff>44450</xdr:rowOff>
    </xdr:to>
    <xdr:cxnSp macro="">
      <xdr:nvCxnSpPr>
        <xdr:cNvPr id="4" name="Straight Arrow Connector 3">
          <a:extLst>
            <a:ext uri="{FF2B5EF4-FFF2-40B4-BE49-F238E27FC236}">
              <a16:creationId xmlns:a16="http://schemas.microsoft.com/office/drawing/2014/main" id="{00000000-0008-0000-0500-000004000000}"/>
            </a:ext>
          </a:extLst>
        </xdr:cNvPr>
        <xdr:cNvCxnSpPr>
          <a:stCxn id="2" idx="3"/>
        </xdr:cNvCxnSpPr>
      </xdr:nvCxnSpPr>
      <xdr:spPr>
        <a:xfrm flipV="1">
          <a:off x="4622800" y="1524000"/>
          <a:ext cx="4025900" cy="2178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50800</xdr:colOff>
      <xdr:row>4</xdr:row>
      <xdr:rowOff>38100</xdr:rowOff>
    </xdr:from>
    <xdr:to>
      <xdr:col>8</xdr:col>
      <xdr:colOff>304800</xdr:colOff>
      <xdr:row>12</xdr:row>
      <xdr:rowOff>152400</xdr:rowOff>
    </xdr:to>
    <xdr:sp macro="" textlink="">
      <xdr:nvSpPr>
        <xdr:cNvPr id="5" name="Left Brace 4">
          <a:extLst>
            <a:ext uri="{FF2B5EF4-FFF2-40B4-BE49-F238E27FC236}">
              <a16:creationId xmlns:a16="http://schemas.microsoft.com/office/drawing/2014/main" id="{00000000-0008-0000-0500-000005000000}"/>
            </a:ext>
          </a:extLst>
        </xdr:cNvPr>
        <xdr:cNvSpPr/>
      </xdr:nvSpPr>
      <xdr:spPr>
        <a:xfrm>
          <a:off x="8763000" y="647700"/>
          <a:ext cx="254000" cy="16383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20</xdr:col>
      <xdr:colOff>63500</xdr:colOff>
      <xdr:row>5</xdr:row>
      <xdr:rowOff>76200</xdr:rowOff>
    </xdr:from>
    <xdr:to>
      <xdr:col>20</xdr:col>
      <xdr:colOff>190500</xdr:colOff>
      <xdr:row>13</xdr:row>
      <xdr:rowOff>139700</xdr:rowOff>
    </xdr:to>
    <xdr:sp macro="" textlink="">
      <xdr:nvSpPr>
        <xdr:cNvPr id="6" name="Right Brace 5">
          <a:extLst>
            <a:ext uri="{FF2B5EF4-FFF2-40B4-BE49-F238E27FC236}">
              <a16:creationId xmlns:a16="http://schemas.microsoft.com/office/drawing/2014/main" id="{00000000-0008-0000-0500-000006000000}"/>
            </a:ext>
          </a:extLst>
        </xdr:cNvPr>
        <xdr:cNvSpPr/>
      </xdr:nvSpPr>
      <xdr:spPr>
        <a:xfrm>
          <a:off x="19583400" y="876300"/>
          <a:ext cx="127000" cy="15875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lang="en-US" sz="1100"/>
        </a:p>
      </xdr:txBody>
    </xdr:sp>
    <xdr:clientData/>
  </xdr:twoCellAnchor>
  <xdr:twoCellAnchor>
    <xdr:from>
      <xdr:col>20</xdr:col>
      <xdr:colOff>304800</xdr:colOff>
      <xdr:row>8</xdr:row>
      <xdr:rowOff>152400</xdr:rowOff>
    </xdr:from>
    <xdr:to>
      <xdr:col>23</xdr:col>
      <xdr:colOff>101600</xdr:colOff>
      <xdr:row>12</xdr:row>
      <xdr:rowOff>63500</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a:xfrm>
          <a:off x="19824700" y="1524000"/>
          <a:ext cx="1625600" cy="67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t>Update cells</a:t>
          </a:r>
          <a:r>
            <a:rPr lang="en-US" sz="1100" baseline="0"/>
            <a:t> in blue to calculate any breakage costs on existing bonds</a:t>
          </a:r>
          <a:endParaRPr lang="en-US" sz="1100"/>
        </a:p>
      </xdr:txBody>
    </xdr:sp>
    <xdr:clientData/>
  </xdr:twoCellAnchor>
  <xdr:twoCellAnchor>
    <xdr:from>
      <xdr:col>3</xdr:col>
      <xdr:colOff>88900</xdr:colOff>
      <xdr:row>5</xdr:row>
      <xdr:rowOff>177800</xdr:rowOff>
    </xdr:from>
    <xdr:to>
      <xdr:col>5</xdr:col>
      <xdr:colOff>12700</xdr:colOff>
      <xdr:row>15</xdr:row>
      <xdr:rowOff>127000</xdr:rowOff>
    </xdr:to>
    <xdr:cxnSp macro="">
      <xdr:nvCxnSpPr>
        <xdr:cNvPr id="9" name="Straight Arrow Connector 8">
          <a:extLst>
            <a:ext uri="{FF2B5EF4-FFF2-40B4-BE49-F238E27FC236}">
              <a16:creationId xmlns:a16="http://schemas.microsoft.com/office/drawing/2014/main" id="{00000000-0008-0000-0500-000009000000}"/>
            </a:ext>
          </a:extLst>
        </xdr:cNvPr>
        <xdr:cNvCxnSpPr/>
      </xdr:nvCxnSpPr>
      <xdr:spPr>
        <a:xfrm flipH="1" flipV="1">
          <a:off x="4673600" y="977900"/>
          <a:ext cx="1574800" cy="18542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333375</xdr:colOff>
      <xdr:row>10</xdr:row>
      <xdr:rowOff>44450</xdr:rowOff>
    </xdr:to>
    <xdr:sp macro="" textlink="">
      <xdr:nvSpPr>
        <xdr:cNvPr id="2" name="TextBox 1">
          <a:extLst>
            <a:ext uri="{FF2B5EF4-FFF2-40B4-BE49-F238E27FC236}">
              <a16:creationId xmlns:a16="http://schemas.microsoft.com/office/drawing/2014/main" id="{00000000-0008-0000-0B00-000002000000}"/>
            </a:ext>
          </a:extLst>
        </xdr:cNvPr>
        <xdr:cNvSpPr txBox="1"/>
      </xdr:nvSpPr>
      <xdr:spPr>
        <a:xfrm>
          <a:off x="609600" y="381000"/>
          <a:ext cx="4600575" cy="1568450"/>
        </a:xfrm>
        <a:prstGeom prst="rect">
          <a:avLst/>
        </a:prstGeom>
        <a:solidFill>
          <a:schemeClr val="accent2">
            <a:lumMod val="20000"/>
            <a:lumOff val="80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This file may only be</a:t>
          </a:r>
          <a:r>
            <a:rPr lang="en-US" sz="1100" baseline="0">
              <a:solidFill>
                <a:schemeClr val="dk1"/>
              </a:solidFill>
              <a:effectLst/>
              <a:latin typeface="+mn-lt"/>
              <a:ea typeface="+mn-ea"/>
              <a:cs typeface="+mn-cs"/>
            </a:rPr>
            <a:t> used per guidelines established at www.novo34.com</a:t>
          </a:r>
          <a:r>
            <a:rPr lang="en-US" sz="1100">
              <a:solidFill>
                <a:schemeClr val="dk1"/>
              </a:solidFill>
              <a:effectLst/>
              <a:latin typeface="+mn-lt"/>
              <a:ea typeface="+mn-ea"/>
              <a:cs typeface="+mn-cs"/>
            </a:rPr>
            <a:t>. Any reverse engineering  (as defined in the Novo34 End User Licensing Agreement), along with the redistribution or copying of the file or the file's contents is strictly prohibited.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This is the property of Accretive Technologies LLC.</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Accretive technologies LLC. All rights reserved. </a:t>
          </a:r>
        </a:p>
        <a:p>
          <a:endParaRPr lang="en-US" sz="1100">
            <a:solidFill>
              <a:schemeClr val="dk1"/>
            </a:solidFill>
            <a:effectLst/>
            <a:latin typeface="+mn-lt"/>
            <a:ea typeface="+mn-ea"/>
            <a:cs typeface="+mn-cs"/>
          </a:endParaRPr>
        </a:p>
      </xdr:txBody>
    </xdr:sp>
    <xdr:clientData/>
  </xdr:twoCellAnchor>
  <xdr:twoCellAnchor>
    <xdr:from>
      <xdr:col>1</xdr:col>
      <xdr:colOff>0</xdr:colOff>
      <xdr:row>11</xdr:row>
      <xdr:rowOff>38100</xdr:rowOff>
    </xdr:from>
    <xdr:to>
      <xdr:col>8</xdr:col>
      <xdr:colOff>333375</xdr:colOff>
      <xdr:row>19</xdr:row>
      <xdr:rowOff>82550</xdr:rowOff>
    </xdr:to>
    <xdr:sp macro="" textlink="">
      <xdr:nvSpPr>
        <xdr:cNvPr id="3" name="TextBox 2">
          <a:extLst>
            <a:ext uri="{FF2B5EF4-FFF2-40B4-BE49-F238E27FC236}">
              <a16:creationId xmlns:a16="http://schemas.microsoft.com/office/drawing/2014/main" id="{00000000-0008-0000-0B00-000003000000}"/>
            </a:ext>
          </a:extLst>
        </xdr:cNvPr>
        <xdr:cNvSpPr txBox="1"/>
      </xdr:nvSpPr>
      <xdr:spPr>
        <a:xfrm>
          <a:off x="609600" y="2133600"/>
          <a:ext cx="4600575" cy="1568450"/>
        </a:xfrm>
        <a:prstGeom prst="rect">
          <a:avLst/>
        </a:prstGeom>
        <a:solidFill>
          <a:schemeClr val="accent4">
            <a:lumMod val="40000"/>
            <a:lumOff val="60000"/>
          </a:schemeClr>
        </a:solidFill>
        <a:ln>
          <a:solidFill>
            <a:schemeClr val="accent2">
              <a:lumMod val="60000"/>
              <a:lumOff val="4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Data</a:t>
          </a:r>
          <a:r>
            <a:rPr lang="en-US" sz="1100" baseline="0">
              <a:solidFill>
                <a:schemeClr val="dk1"/>
              </a:solidFill>
              <a:effectLst/>
              <a:latin typeface="+mn-lt"/>
              <a:ea typeface="+mn-ea"/>
              <a:cs typeface="+mn-cs"/>
            </a:rPr>
            <a:t> used for the purposes of the analysis comes from third party data sources (including, but not limited to Calcbench). Accretive technologies LLC does not guarantee the accurace of the data included in this file.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Model is built using "placeholder" growth, margin, and capital structure assumptions (among other items). The user must change these assumptions once the model is downloaded.</a:t>
          </a:r>
          <a:endParaRPr lang="en-US"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46"/>
  <sheetViews>
    <sheetView showGridLines="0" tabSelected="1" view="pageBreakPreview" zoomScale="64" zoomScaleNormal="75" zoomScaleSheetLayoutView="55" workbookViewId="0"/>
  </sheetViews>
  <sheetFormatPr defaultRowHeight="15"/>
  <cols>
    <col min="1" max="1" width="1.42578125" style="3" bestFit="1" customWidth="1"/>
    <col min="3" max="3" width="43.140625" style="3" customWidth="1"/>
    <col min="4" max="5" width="10.85546875" style="87" customWidth="1"/>
    <col min="6" max="6" width="10.85546875" style="3" customWidth="1"/>
    <col min="7" max="17" width="10.85546875" style="3" bestFit="1" customWidth="1"/>
    <col min="19" max="19" width="35.7109375" style="3" customWidth="1"/>
    <col min="20" max="29" width="8.7109375" style="3" customWidth="1"/>
  </cols>
  <sheetData>
    <row r="1" spans="1:29">
      <c r="A1" s="3" t="s">
        <v>2</v>
      </c>
    </row>
    <row r="2" spans="1:29">
      <c r="U2" s="87"/>
      <c r="V2" s="87"/>
    </row>
    <row r="3" spans="1:29">
      <c r="C3" s="23" t="s">
        <v>0</v>
      </c>
      <c r="D3" s="23"/>
      <c r="E3" s="23"/>
      <c r="F3" s="23"/>
      <c r="G3" s="23"/>
      <c r="H3" s="23"/>
      <c r="I3" s="23"/>
      <c r="J3" s="23"/>
      <c r="K3" s="23"/>
      <c r="L3" s="23"/>
      <c r="M3" s="23"/>
      <c r="N3" s="23"/>
      <c r="O3" s="23"/>
      <c r="P3" s="23"/>
      <c r="Q3" s="23"/>
      <c r="S3" s="3" t="s">
        <v>1</v>
      </c>
    </row>
    <row r="4" spans="1:29" ht="3" customHeight="1">
      <c r="A4" s="3" t="s">
        <v>2</v>
      </c>
    </row>
    <row r="5" spans="1:29">
      <c r="D5" s="194">
        <v>2014</v>
      </c>
      <c r="E5" s="24">
        <f t="shared" ref="E5:F5" si="0">D5+1</f>
        <v>2015</v>
      </c>
      <c r="F5" s="24">
        <f t="shared" si="0"/>
        <v>2016</v>
      </c>
      <c r="G5" s="24">
        <f t="shared" ref="G5:Q5" si="1">F5+1</f>
        <v>2017</v>
      </c>
      <c r="H5" s="25">
        <f t="shared" si="1"/>
        <v>2018</v>
      </c>
      <c r="I5" s="25">
        <f t="shared" si="1"/>
        <v>2019</v>
      </c>
      <c r="J5" s="25">
        <f t="shared" si="1"/>
        <v>2020</v>
      </c>
      <c r="K5" s="25">
        <f t="shared" si="1"/>
        <v>2021</v>
      </c>
      <c r="L5" s="25">
        <f t="shared" si="1"/>
        <v>2022</v>
      </c>
      <c r="M5" s="25">
        <f t="shared" si="1"/>
        <v>2023</v>
      </c>
      <c r="N5" s="25">
        <f t="shared" si="1"/>
        <v>2024</v>
      </c>
      <c r="O5" s="25">
        <f t="shared" si="1"/>
        <v>2025</v>
      </c>
      <c r="P5" s="25">
        <f t="shared" si="1"/>
        <v>2026</v>
      </c>
      <c r="Q5" s="25">
        <f t="shared" si="1"/>
        <v>2027</v>
      </c>
      <c r="T5" s="25">
        <f t="shared" ref="T5:AC5" si="2">H5</f>
        <v>2018</v>
      </c>
      <c r="U5" s="25">
        <f t="shared" si="2"/>
        <v>2019</v>
      </c>
      <c r="V5" s="25">
        <f t="shared" si="2"/>
        <v>2020</v>
      </c>
      <c r="W5" s="25">
        <f t="shared" si="2"/>
        <v>2021</v>
      </c>
      <c r="X5" s="25">
        <f t="shared" si="2"/>
        <v>2022</v>
      </c>
      <c r="Y5" s="25">
        <f t="shared" si="2"/>
        <v>2023</v>
      </c>
      <c r="Z5" s="25">
        <f t="shared" si="2"/>
        <v>2024</v>
      </c>
      <c r="AA5" s="25">
        <f t="shared" si="2"/>
        <v>2025</v>
      </c>
      <c r="AB5" s="25">
        <f t="shared" si="2"/>
        <v>2026</v>
      </c>
      <c r="AC5" s="25">
        <f t="shared" si="2"/>
        <v>2027</v>
      </c>
    </row>
    <row r="6" spans="1:29" ht="3" customHeight="1">
      <c r="F6" s="3" t="s">
        <v>2</v>
      </c>
    </row>
    <row r="7" spans="1:29">
      <c r="C7" s="3" t="s">
        <v>3</v>
      </c>
    </row>
    <row r="8" spans="1:29">
      <c r="C8" s="26" t="s">
        <v>4</v>
      </c>
      <c r="D8" s="112"/>
      <c r="E8" s="112">
        <v>233715</v>
      </c>
      <c r="F8" s="112">
        <v>215639</v>
      </c>
      <c r="G8" s="112">
        <v>229234</v>
      </c>
      <c r="H8" s="113">
        <f t="shared" ref="H8:Q8" si="3">G8*(1+T8)</f>
        <v>243686.09924920814</v>
      </c>
      <c r="I8" s="113">
        <f t="shared" si="3"/>
        <v>259049.33372577769</v>
      </c>
      <c r="J8" s="113">
        <f t="shared" si="3"/>
        <v>275381.14611593873</v>
      </c>
      <c r="K8" s="113">
        <f t="shared" si="3"/>
        <v>292742.60059052904</v>
      </c>
      <c r="L8" s="113">
        <f t="shared" si="3"/>
        <v>311198.61112215009</v>
      </c>
      <c r="M8" s="113">
        <f t="shared" si="3"/>
        <v>330818.18419662002</v>
      </c>
      <c r="N8" s="113">
        <f t="shared" si="3"/>
        <v>351674.67682621413</v>
      </c>
      <c r="O8" s="113">
        <f t="shared" si="3"/>
        <v>373846.07082939713</v>
      </c>
      <c r="P8" s="113">
        <f t="shared" si="3"/>
        <v>397415.26440257102</v>
      </c>
      <c r="Q8" s="113">
        <f t="shared" si="3"/>
        <v>422470.38207401702</v>
      </c>
      <c r="R8" s="87"/>
      <c r="S8" s="87" t="str">
        <f>C8</f>
        <v>Net sales</v>
      </c>
      <c r="T8" s="114">
        <f>(G9/F9-1)</f>
        <v>6.304518199398057E-2</v>
      </c>
      <c r="U8" s="115">
        <f>T8</f>
        <v>6.304518199398057E-2</v>
      </c>
      <c r="V8" s="115">
        <f t="shared" ref="V8:AC8" si="4">U8</f>
        <v>6.304518199398057E-2</v>
      </c>
      <c r="W8" s="115">
        <f t="shared" si="4"/>
        <v>6.304518199398057E-2</v>
      </c>
      <c r="X8" s="115">
        <f t="shared" si="4"/>
        <v>6.304518199398057E-2</v>
      </c>
      <c r="Y8" s="115">
        <f t="shared" si="4"/>
        <v>6.304518199398057E-2</v>
      </c>
      <c r="Z8" s="115">
        <f t="shared" si="4"/>
        <v>6.304518199398057E-2</v>
      </c>
      <c r="AA8" s="115">
        <f t="shared" si="4"/>
        <v>6.304518199398057E-2</v>
      </c>
      <c r="AB8" s="115">
        <f t="shared" si="4"/>
        <v>6.304518199398057E-2</v>
      </c>
      <c r="AC8" s="115">
        <f t="shared" si="4"/>
        <v>6.304518199398057E-2</v>
      </c>
    </row>
    <row r="9" spans="1:29">
      <c r="C9" s="3" t="s">
        <v>5</v>
      </c>
      <c r="D9" s="116"/>
      <c r="E9" s="116">
        <f t="shared" ref="E9" si="5">E8</f>
        <v>233715</v>
      </c>
      <c r="F9" s="116">
        <f t="shared" ref="F9:Q9" si="6">F8</f>
        <v>215639</v>
      </c>
      <c r="G9" s="116">
        <f t="shared" si="6"/>
        <v>229234</v>
      </c>
      <c r="H9" s="116">
        <f t="shared" si="6"/>
        <v>243686.09924920814</v>
      </c>
      <c r="I9" s="116">
        <f t="shared" si="6"/>
        <v>259049.33372577769</v>
      </c>
      <c r="J9" s="116">
        <f t="shared" si="6"/>
        <v>275381.14611593873</v>
      </c>
      <c r="K9" s="116">
        <f t="shared" si="6"/>
        <v>292742.60059052904</v>
      </c>
      <c r="L9" s="116">
        <f t="shared" si="6"/>
        <v>311198.61112215009</v>
      </c>
      <c r="M9" s="116">
        <f t="shared" si="6"/>
        <v>330818.18419662002</v>
      </c>
      <c r="N9" s="116">
        <f t="shared" si="6"/>
        <v>351674.67682621413</v>
      </c>
      <c r="O9" s="116">
        <f t="shared" si="6"/>
        <v>373846.07082939713</v>
      </c>
      <c r="P9" s="116">
        <f t="shared" si="6"/>
        <v>397415.26440257102</v>
      </c>
      <c r="Q9" s="116">
        <f t="shared" si="6"/>
        <v>422470.38207401702</v>
      </c>
      <c r="R9" s="87"/>
      <c r="S9" s="87"/>
      <c r="T9" s="87"/>
      <c r="U9" s="84"/>
      <c r="V9" s="84"/>
      <c r="W9" s="84"/>
      <c r="X9" s="84"/>
      <c r="Y9" s="84"/>
      <c r="Z9" s="84"/>
      <c r="AA9" s="84"/>
      <c r="AB9" s="84"/>
      <c r="AC9" s="84"/>
    </row>
    <row r="10" spans="1:29">
      <c r="C10" s="27" t="s">
        <v>6</v>
      </c>
      <c r="E10" s="117"/>
      <c r="F10" s="117">
        <f>F9/E9-1</f>
        <v>-7.7342061913013738E-2</v>
      </c>
      <c r="G10" s="117">
        <f t="shared" ref="G10:Q10" si="7">G9/F9-1</f>
        <v>6.304518199398057E-2</v>
      </c>
      <c r="H10" s="117">
        <f t="shared" si="7"/>
        <v>6.304518199398057E-2</v>
      </c>
      <c r="I10" s="117">
        <f t="shared" si="7"/>
        <v>6.304518199398057E-2</v>
      </c>
      <c r="J10" s="117">
        <f t="shared" si="7"/>
        <v>6.304518199398057E-2</v>
      </c>
      <c r="K10" s="117">
        <f t="shared" si="7"/>
        <v>6.304518199398057E-2</v>
      </c>
      <c r="L10" s="117">
        <f t="shared" si="7"/>
        <v>6.304518199398057E-2</v>
      </c>
      <c r="M10" s="117">
        <f t="shared" si="7"/>
        <v>6.304518199398057E-2</v>
      </c>
      <c r="N10" s="117">
        <f t="shared" si="7"/>
        <v>6.304518199398057E-2</v>
      </c>
      <c r="O10" s="117">
        <f t="shared" si="7"/>
        <v>6.304518199398057E-2</v>
      </c>
      <c r="P10" s="117">
        <f t="shared" si="7"/>
        <v>6.304518199398057E-2</v>
      </c>
      <c r="Q10" s="117">
        <f t="shared" si="7"/>
        <v>6.304518199398057E-2</v>
      </c>
      <c r="R10" s="87"/>
      <c r="S10" s="87"/>
      <c r="T10" s="87"/>
      <c r="U10" s="84"/>
      <c r="V10" s="84"/>
      <c r="W10" s="84"/>
      <c r="X10" s="84"/>
      <c r="Y10" s="84"/>
      <c r="Z10" s="84"/>
      <c r="AA10" s="84"/>
      <c r="AB10" s="84"/>
      <c r="AC10" s="84"/>
    </row>
    <row r="11" spans="1:29">
      <c r="F11" s="87"/>
      <c r="G11" s="87"/>
      <c r="H11" s="87"/>
      <c r="I11" s="87"/>
      <c r="J11" s="87"/>
      <c r="K11" s="87"/>
      <c r="L11" s="87"/>
      <c r="M11" s="87"/>
      <c r="N11" s="87"/>
      <c r="O11" s="87"/>
      <c r="P11" s="87"/>
      <c r="Q11" s="87"/>
      <c r="R11" s="87"/>
      <c r="S11" s="87"/>
      <c r="T11" s="87"/>
      <c r="U11" s="84"/>
      <c r="V11" s="84"/>
      <c r="W11" s="84"/>
      <c r="X11" s="84"/>
      <c r="Y11" s="84"/>
      <c r="Z11" s="84"/>
      <c r="AA11" s="84"/>
      <c r="AB11" s="84"/>
      <c r="AC11" s="84"/>
    </row>
    <row r="12" spans="1:29">
      <c r="C12" s="3" t="s">
        <v>7</v>
      </c>
      <c r="F12" s="87"/>
      <c r="G12" s="87"/>
      <c r="H12" s="87"/>
      <c r="I12" s="87"/>
      <c r="J12" s="87"/>
      <c r="K12" s="87"/>
      <c r="L12" s="87"/>
      <c r="M12" s="87"/>
      <c r="N12" s="87"/>
      <c r="O12" s="87"/>
      <c r="P12" s="87"/>
      <c r="Q12" s="87"/>
      <c r="R12" s="87"/>
      <c r="S12" s="87"/>
      <c r="T12" s="87"/>
      <c r="U12" s="84"/>
      <c r="V12" s="84"/>
      <c r="W12" s="84"/>
      <c r="X12" s="84"/>
      <c r="Y12" s="84"/>
      <c r="Z12" s="84"/>
      <c r="AA12" s="84"/>
      <c r="AB12" s="84"/>
      <c r="AC12" s="84"/>
    </row>
    <row r="13" spans="1:29">
      <c r="C13" s="26" t="s">
        <v>8</v>
      </c>
      <c r="D13" s="112"/>
      <c r="E13" s="112">
        <v>140089</v>
      </c>
      <c r="F13" s="112">
        <v>131376</v>
      </c>
      <c r="G13" s="112">
        <v>141048</v>
      </c>
      <c r="H13" s="113">
        <f>H9*T13</f>
        <v>149940.39682988697</v>
      </c>
      <c r="I13" s="113">
        <f t="shared" ref="I13:Q13" si="8">U13*I9</f>
        <v>159393.41643627686</v>
      </c>
      <c r="J13" s="113">
        <f t="shared" si="8"/>
        <v>169442.40338414424</v>
      </c>
      <c r="K13" s="113">
        <f t="shared" si="8"/>
        <v>180124.93054299511</v>
      </c>
      <c r="L13" s="113">
        <f t="shared" si="8"/>
        <v>191480.93957073131</v>
      </c>
      <c r="M13" s="113">
        <f t="shared" si="8"/>
        <v>203552.89025434648</v>
      </c>
      <c r="N13" s="113">
        <f t="shared" si="8"/>
        <v>216385.91926583249</v>
      </c>
      <c r="O13" s="113">
        <f t="shared" si="8"/>
        <v>230028.00892688171</v>
      </c>
      <c r="P13" s="113">
        <f t="shared" si="8"/>
        <v>244530.16661338997</v>
      </c>
      <c r="Q13" s="113">
        <f t="shared" si="8"/>
        <v>259946.61547054953</v>
      </c>
      <c r="R13" s="87"/>
      <c r="S13" s="87" t="str">
        <f>C13</f>
        <v>Cost of revenue</v>
      </c>
      <c r="T13" s="114">
        <f>G13/G$9</f>
        <v>0.6153013950810089</v>
      </c>
      <c r="U13" s="115">
        <f>T13</f>
        <v>0.6153013950810089</v>
      </c>
      <c r="V13" s="115">
        <f t="shared" ref="V13:AC13" si="9">U13</f>
        <v>0.6153013950810089</v>
      </c>
      <c r="W13" s="115">
        <f t="shared" si="9"/>
        <v>0.6153013950810089</v>
      </c>
      <c r="X13" s="115">
        <f t="shared" si="9"/>
        <v>0.6153013950810089</v>
      </c>
      <c r="Y13" s="115">
        <f t="shared" si="9"/>
        <v>0.6153013950810089</v>
      </c>
      <c r="Z13" s="115">
        <f t="shared" si="9"/>
        <v>0.6153013950810089</v>
      </c>
      <c r="AA13" s="115">
        <f t="shared" si="9"/>
        <v>0.6153013950810089</v>
      </c>
      <c r="AB13" s="115">
        <f t="shared" si="9"/>
        <v>0.6153013950810089</v>
      </c>
      <c r="AC13" s="115">
        <f t="shared" si="9"/>
        <v>0.6153013950810089</v>
      </c>
    </row>
    <row r="14" spans="1:29">
      <c r="C14" s="26" t="s">
        <v>9</v>
      </c>
      <c r="D14" s="118"/>
      <c r="E14" s="118">
        <v>8067</v>
      </c>
      <c r="F14" s="118">
        <v>10045</v>
      </c>
      <c r="G14" s="118">
        <v>11581</v>
      </c>
      <c r="H14" s="28">
        <f>H9*T14</f>
        <v>12311.126252672288</v>
      </c>
      <c r="I14" s="28">
        <f t="shared" ref="I14:Q14" si="10">U14*I9</f>
        <v>13087.283447822885</v>
      </c>
      <c r="J14" s="28">
        <f t="shared" si="10"/>
        <v>13912.373614597687</v>
      </c>
      <c r="K14" s="28">
        <f t="shared" si="10"/>
        <v>14789.481741098252</v>
      </c>
      <c r="L14" s="28">
        <f t="shared" si="10"/>
        <v>15721.887309062442</v>
      </c>
      <c r="M14" s="28">
        <f t="shared" si="10"/>
        <v>16713.076555751137</v>
      </c>
      <c r="N14" s="28">
        <f t="shared" si="10"/>
        <v>17766.7555088878</v>
      </c>
      <c r="O14" s="28">
        <f t="shared" si="10"/>
        <v>18886.86384338819</v>
      </c>
      <c r="P14" s="28">
        <f t="shared" si="10"/>
        <v>20077.589611690128</v>
      </c>
      <c r="Q14" s="28">
        <f t="shared" si="10"/>
        <v>21343.384902759586</v>
      </c>
      <c r="R14" s="87"/>
      <c r="S14" s="87" t="str">
        <f t="shared" ref="S14:S17" si="11">C14</f>
        <v>R&amp;D</v>
      </c>
      <c r="T14" s="114">
        <f t="shared" ref="T14:T17" si="12">G14/G$9</f>
        <v>5.0520428906706681E-2</v>
      </c>
      <c r="U14" s="115">
        <f t="shared" ref="U14:AC17" si="13">T14</f>
        <v>5.0520428906706681E-2</v>
      </c>
      <c r="V14" s="115">
        <f t="shared" si="13"/>
        <v>5.0520428906706681E-2</v>
      </c>
      <c r="W14" s="115">
        <f t="shared" si="13"/>
        <v>5.0520428906706681E-2</v>
      </c>
      <c r="X14" s="115">
        <f t="shared" si="13"/>
        <v>5.0520428906706681E-2</v>
      </c>
      <c r="Y14" s="115">
        <f t="shared" si="13"/>
        <v>5.0520428906706681E-2</v>
      </c>
      <c r="Z14" s="115">
        <f t="shared" si="13"/>
        <v>5.0520428906706681E-2</v>
      </c>
      <c r="AA14" s="115">
        <f t="shared" si="13"/>
        <v>5.0520428906706681E-2</v>
      </c>
      <c r="AB14" s="115">
        <f t="shared" si="13"/>
        <v>5.0520428906706681E-2</v>
      </c>
      <c r="AC14" s="115">
        <f t="shared" si="13"/>
        <v>5.0520428906706681E-2</v>
      </c>
    </row>
    <row r="15" spans="1:29">
      <c r="C15" s="26" t="s">
        <v>10</v>
      </c>
      <c r="D15" s="118"/>
      <c r="E15" s="118">
        <v>14329</v>
      </c>
      <c r="F15" s="118">
        <v>14194</v>
      </c>
      <c r="G15" s="118">
        <v>15261</v>
      </c>
      <c r="H15" s="28">
        <f>H9*T15</f>
        <v>16223.132522410137</v>
      </c>
      <c r="I15" s="28">
        <f t="shared" ref="I15:Q15" si="14">U15*I9</f>
        <v>17245.922864797947</v>
      </c>
      <c r="J15" s="28">
        <f t="shared" si="14"/>
        <v>18333.195210463284</v>
      </c>
      <c r="K15" s="28">
        <f t="shared" si="14"/>
        <v>19489.014839038115</v>
      </c>
      <c r="L15" s="28">
        <f t="shared" si="14"/>
        <v>20717.70332644866</v>
      </c>
      <c r="M15" s="28">
        <f t="shared" si="14"/>
        <v>22023.854703161913</v>
      </c>
      <c r="N15" s="28">
        <f t="shared" si="14"/>
        <v>23412.35263113174</v>
      </c>
      <c r="O15" s="28">
        <f t="shared" si="14"/>
        <v>24888.388663668691</v>
      </c>
      <c r="P15" s="28">
        <f t="shared" si="14"/>
        <v>26457.481656506607</v>
      </c>
      <c r="Q15" s="28">
        <f t="shared" si="14"/>
        <v>28125.498402643469</v>
      </c>
      <c r="R15" s="87"/>
      <c r="S15" s="87" t="str">
        <f t="shared" si="11"/>
        <v>SG&amp;A</v>
      </c>
      <c r="T15" s="114">
        <f t="shared" si="12"/>
        <v>6.6573893924984945E-2</v>
      </c>
      <c r="U15" s="115">
        <f t="shared" si="13"/>
        <v>6.6573893924984945E-2</v>
      </c>
      <c r="V15" s="115">
        <f t="shared" si="13"/>
        <v>6.6573893924984945E-2</v>
      </c>
      <c r="W15" s="115">
        <f t="shared" si="13"/>
        <v>6.6573893924984945E-2</v>
      </c>
      <c r="X15" s="115">
        <f t="shared" si="13"/>
        <v>6.6573893924984945E-2</v>
      </c>
      <c r="Y15" s="115">
        <f t="shared" si="13"/>
        <v>6.6573893924984945E-2</v>
      </c>
      <c r="Z15" s="115">
        <f t="shared" si="13"/>
        <v>6.6573893924984945E-2</v>
      </c>
      <c r="AA15" s="115">
        <f t="shared" si="13"/>
        <v>6.6573893924984945E-2</v>
      </c>
      <c r="AB15" s="115">
        <f t="shared" si="13"/>
        <v>6.6573893924984945E-2</v>
      </c>
      <c r="AC15" s="115">
        <f t="shared" si="13"/>
        <v>6.6573893924984945E-2</v>
      </c>
    </row>
    <row r="16" spans="1:29">
      <c r="C16" s="26" t="s">
        <v>11</v>
      </c>
      <c r="D16" s="119"/>
      <c r="E16" s="119">
        <v>0</v>
      </c>
      <c r="F16" s="119">
        <v>0</v>
      </c>
      <c r="G16" s="119">
        <v>0</v>
      </c>
      <c r="H16" s="28">
        <f>H9*T16</f>
        <v>0</v>
      </c>
      <c r="I16" s="28">
        <f t="shared" ref="I16:Q17" si="15">U16*I9</f>
        <v>0</v>
      </c>
      <c r="J16" s="28">
        <f t="shared" si="15"/>
        <v>0</v>
      </c>
      <c r="K16" s="28">
        <f t="shared" si="15"/>
        <v>0</v>
      </c>
      <c r="L16" s="28">
        <f t="shared" si="15"/>
        <v>0</v>
      </c>
      <c r="M16" s="28">
        <f t="shared" si="15"/>
        <v>0</v>
      </c>
      <c r="N16" s="28">
        <f t="shared" si="15"/>
        <v>0</v>
      </c>
      <c r="O16" s="28">
        <f t="shared" si="15"/>
        <v>0</v>
      </c>
      <c r="P16" s="28">
        <f t="shared" si="15"/>
        <v>0</v>
      </c>
      <c r="Q16" s="28">
        <f t="shared" si="15"/>
        <v>0</v>
      </c>
      <c r="R16" s="87"/>
      <c r="S16" s="87" t="str">
        <f t="shared" si="11"/>
        <v>Non-recurring</v>
      </c>
      <c r="T16" s="114">
        <f t="shared" si="12"/>
        <v>0</v>
      </c>
      <c r="U16" s="115">
        <f t="shared" si="13"/>
        <v>0</v>
      </c>
      <c r="V16" s="115">
        <f t="shared" si="13"/>
        <v>0</v>
      </c>
      <c r="W16" s="115">
        <f t="shared" si="13"/>
        <v>0</v>
      </c>
      <c r="X16" s="115">
        <f t="shared" si="13"/>
        <v>0</v>
      </c>
      <c r="Y16" s="115">
        <f t="shared" si="13"/>
        <v>0</v>
      </c>
      <c r="Z16" s="115">
        <f t="shared" si="13"/>
        <v>0</v>
      </c>
      <c r="AA16" s="115">
        <f t="shared" si="13"/>
        <v>0</v>
      </c>
      <c r="AB16" s="115">
        <f t="shared" si="13"/>
        <v>0</v>
      </c>
      <c r="AC16" s="115">
        <f t="shared" si="13"/>
        <v>0</v>
      </c>
    </row>
    <row r="17" spans="3:29" s="37" customFormat="1">
      <c r="C17" s="26" t="s">
        <v>12</v>
      </c>
      <c r="D17" s="91"/>
      <c r="E17" s="91">
        <f t="shared" ref="E17:F17" si="16">E18-SUM(E13:E16)</f>
        <v>0</v>
      </c>
      <c r="F17" s="91">
        <f t="shared" si="16"/>
        <v>0</v>
      </c>
      <c r="G17" s="91">
        <f>G18-SUM(G13:G16)</f>
        <v>0</v>
      </c>
      <c r="H17" s="28">
        <f>H10*T17</f>
        <v>0</v>
      </c>
      <c r="I17" s="28">
        <f t="shared" si="15"/>
        <v>0</v>
      </c>
      <c r="J17" s="28">
        <f t="shared" si="15"/>
        <v>0</v>
      </c>
      <c r="K17" s="28">
        <f t="shared" si="15"/>
        <v>0</v>
      </c>
      <c r="L17" s="28">
        <f t="shared" si="15"/>
        <v>0</v>
      </c>
      <c r="M17" s="28">
        <f t="shared" si="15"/>
        <v>0</v>
      </c>
      <c r="N17" s="28">
        <f t="shared" si="15"/>
        <v>0</v>
      </c>
      <c r="O17" s="28">
        <f t="shared" si="15"/>
        <v>0</v>
      </c>
      <c r="P17" s="28">
        <f t="shared" si="15"/>
        <v>0</v>
      </c>
      <c r="Q17" s="28">
        <f t="shared" si="15"/>
        <v>0</v>
      </c>
      <c r="R17" s="87"/>
      <c r="S17" s="87" t="str">
        <f t="shared" si="11"/>
        <v>Other</v>
      </c>
      <c r="T17" s="114">
        <f t="shared" si="12"/>
        <v>0</v>
      </c>
      <c r="U17" s="115">
        <f t="shared" si="13"/>
        <v>0</v>
      </c>
      <c r="V17" s="115">
        <f t="shared" si="13"/>
        <v>0</v>
      </c>
      <c r="W17" s="115">
        <f t="shared" si="13"/>
        <v>0</v>
      </c>
      <c r="X17" s="115">
        <f t="shared" si="13"/>
        <v>0</v>
      </c>
      <c r="Y17" s="115">
        <f t="shared" si="13"/>
        <v>0</v>
      </c>
      <c r="Z17" s="115">
        <f t="shared" si="13"/>
        <v>0</v>
      </c>
      <c r="AA17" s="115">
        <f t="shared" si="13"/>
        <v>0</v>
      </c>
      <c r="AB17" s="115">
        <f t="shared" si="13"/>
        <v>0</v>
      </c>
      <c r="AC17" s="115">
        <f t="shared" si="13"/>
        <v>0</v>
      </c>
    </row>
    <row r="18" spans="3:29">
      <c r="C18" s="26" t="s">
        <v>13</v>
      </c>
      <c r="D18" s="120"/>
      <c r="E18" s="120">
        <v>162485</v>
      </c>
      <c r="F18" s="120">
        <v>155615</v>
      </c>
      <c r="G18" s="120">
        <v>167890</v>
      </c>
      <c r="H18" s="121">
        <f t="shared" ref="H18:Q18" si="17">H16+H15+H14+H13+H17</f>
        <v>178474.65560496939</v>
      </c>
      <c r="I18" s="121">
        <f t="shared" si="17"/>
        <v>189726.6227488977</v>
      </c>
      <c r="J18" s="121">
        <f t="shared" si="17"/>
        <v>201687.97220920521</v>
      </c>
      <c r="K18" s="121">
        <f t="shared" si="17"/>
        <v>214403.42712313146</v>
      </c>
      <c r="L18" s="121">
        <f t="shared" si="17"/>
        <v>227920.5302062424</v>
      </c>
      <c r="M18" s="121">
        <f t="shared" si="17"/>
        <v>242289.82151325952</v>
      </c>
      <c r="N18" s="121">
        <f t="shared" si="17"/>
        <v>257565.02740585204</v>
      </c>
      <c r="O18" s="121">
        <f t="shared" si="17"/>
        <v>273803.26143393858</v>
      </c>
      <c r="P18" s="121">
        <f t="shared" si="17"/>
        <v>291065.23788158671</v>
      </c>
      <c r="Q18" s="121">
        <f t="shared" si="17"/>
        <v>309415.49877595261</v>
      </c>
      <c r="R18" s="87"/>
      <c r="S18" s="87"/>
      <c r="T18" s="87"/>
      <c r="U18" s="84"/>
      <c r="V18" s="84"/>
      <c r="W18" s="84"/>
      <c r="X18" s="84"/>
      <c r="Y18" s="84"/>
      <c r="Z18" s="84"/>
      <c r="AA18" s="84"/>
      <c r="AB18" s="84"/>
      <c r="AC18" s="84"/>
    </row>
    <row r="19" spans="3:29">
      <c r="C19" s="27" t="s">
        <v>6</v>
      </c>
      <c r="E19" s="117"/>
      <c r="F19" s="117">
        <f>F18/E18-1</f>
        <v>-4.2280825922392795E-2</v>
      </c>
      <c r="G19" s="117">
        <f t="shared" ref="G19:Q19" si="18">G18/F18-1</f>
        <v>7.8880570639077163E-2</v>
      </c>
      <c r="H19" s="117">
        <f t="shared" si="18"/>
        <v>6.304518199398057E-2</v>
      </c>
      <c r="I19" s="117">
        <f t="shared" si="18"/>
        <v>6.304518199398057E-2</v>
      </c>
      <c r="J19" s="117">
        <f t="shared" si="18"/>
        <v>6.3045181993980348E-2</v>
      </c>
      <c r="K19" s="117">
        <f t="shared" si="18"/>
        <v>6.304518199398057E-2</v>
      </c>
      <c r="L19" s="117">
        <f t="shared" si="18"/>
        <v>6.3045181993980348E-2</v>
      </c>
      <c r="M19" s="117">
        <f t="shared" si="18"/>
        <v>6.304518199398057E-2</v>
      </c>
      <c r="N19" s="117">
        <f t="shared" si="18"/>
        <v>6.304518199398057E-2</v>
      </c>
      <c r="O19" s="117">
        <f t="shared" si="18"/>
        <v>6.304518199398057E-2</v>
      </c>
      <c r="P19" s="117">
        <f t="shared" si="18"/>
        <v>6.3045181993980792E-2</v>
      </c>
      <c r="Q19" s="117">
        <f t="shared" si="18"/>
        <v>6.304518199398057E-2</v>
      </c>
      <c r="R19" s="87"/>
      <c r="S19" s="87"/>
      <c r="T19" s="87"/>
      <c r="U19" s="84"/>
      <c r="V19" s="84"/>
      <c r="W19" s="84"/>
      <c r="X19" s="84"/>
      <c r="Y19" s="84"/>
      <c r="Z19" s="84"/>
      <c r="AA19" s="84"/>
      <c r="AB19" s="84"/>
      <c r="AC19" s="84"/>
    </row>
    <row r="20" spans="3:29">
      <c r="F20" s="87"/>
      <c r="G20" s="87"/>
      <c r="H20" s="87"/>
      <c r="I20" s="87"/>
      <c r="J20" s="87"/>
      <c r="K20" s="87"/>
      <c r="L20" s="87"/>
      <c r="M20" s="87"/>
      <c r="N20" s="87"/>
      <c r="O20" s="87"/>
      <c r="P20" s="87"/>
      <c r="Q20" s="87"/>
      <c r="R20" s="87"/>
      <c r="S20" s="87"/>
      <c r="T20" s="87"/>
      <c r="U20" s="84"/>
      <c r="V20" s="84"/>
      <c r="W20" s="84"/>
      <c r="X20" s="84"/>
      <c r="Y20" s="84"/>
      <c r="Z20" s="84"/>
      <c r="AA20" s="84"/>
      <c r="AB20" s="84"/>
      <c r="AC20" s="84"/>
    </row>
    <row r="21" spans="3:29">
      <c r="C21" s="3" t="s">
        <v>14</v>
      </c>
      <c r="D21" s="121"/>
      <c r="E21" s="121">
        <f t="shared" ref="E21" si="19">E9-E18</f>
        <v>71230</v>
      </c>
      <c r="F21" s="121">
        <f t="shared" ref="F21:Q21" si="20">F9-F18</f>
        <v>60024</v>
      </c>
      <c r="G21" s="121">
        <f t="shared" si="20"/>
        <v>61344</v>
      </c>
      <c r="H21" s="121">
        <f t="shared" si="20"/>
        <v>65211.443644238752</v>
      </c>
      <c r="I21" s="121">
        <f t="shared" si="20"/>
        <v>69322.710976879986</v>
      </c>
      <c r="J21" s="121">
        <f t="shared" si="20"/>
        <v>73693.173906733515</v>
      </c>
      <c r="K21" s="121">
        <f t="shared" si="20"/>
        <v>78339.173467397573</v>
      </c>
      <c r="L21" s="121">
        <f t="shared" si="20"/>
        <v>83278.080915907689</v>
      </c>
      <c r="M21" s="121">
        <f t="shared" si="20"/>
        <v>88528.362683360494</v>
      </c>
      <c r="N21" s="121">
        <f t="shared" si="20"/>
        <v>94109.649420362082</v>
      </c>
      <c r="O21" s="121">
        <f t="shared" si="20"/>
        <v>100042.80939545855</v>
      </c>
      <c r="P21" s="121">
        <f t="shared" si="20"/>
        <v>106350.02652098431</v>
      </c>
      <c r="Q21" s="121">
        <f t="shared" si="20"/>
        <v>113054.88329806441</v>
      </c>
      <c r="R21" s="87"/>
      <c r="S21" s="87"/>
      <c r="T21" s="87"/>
      <c r="U21" s="84"/>
      <c r="V21" s="84"/>
      <c r="W21" s="84"/>
      <c r="X21" s="84"/>
      <c r="Y21" s="84"/>
      <c r="Z21" s="84"/>
      <c r="AA21" s="84"/>
      <c r="AB21" s="84"/>
      <c r="AC21" s="84"/>
    </row>
    <row r="22" spans="3:29">
      <c r="F22" s="87"/>
      <c r="G22" s="87"/>
      <c r="H22" s="87"/>
      <c r="I22" s="87"/>
      <c r="J22" s="87"/>
      <c r="K22" s="87"/>
      <c r="L22" s="87"/>
      <c r="M22" s="87"/>
      <c r="N22" s="87"/>
      <c r="O22" s="87"/>
      <c r="P22" s="87"/>
      <c r="Q22" s="87"/>
      <c r="R22" s="87"/>
      <c r="S22" s="87"/>
      <c r="T22" s="87"/>
      <c r="U22" s="84"/>
      <c r="V22" s="84"/>
      <c r="W22" s="84"/>
      <c r="X22" s="84"/>
      <c r="Y22" s="84"/>
      <c r="Z22" s="84"/>
      <c r="AA22" s="84"/>
      <c r="AB22" s="84"/>
      <c r="AC22" s="84"/>
    </row>
    <row r="23" spans="3:29">
      <c r="C23" s="3" t="s">
        <v>15</v>
      </c>
      <c r="D23" s="113"/>
      <c r="E23" s="113">
        <f t="shared" ref="E23" si="21">E9-E18</f>
        <v>71230</v>
      </c>
      <c r="F23" s="113">
        <f t="shared" ref="F23:Q23" si="22">F9-F18</f>
        <v>60024</v>
      </c>
      <c r="G23" s="113">
        <f t="shared" si="22"/>
        <v>61344</v>
      </c>
      <c r="H23" s="113">
        <f t="shared" si="22"/>
        <v>65211.443644238752</v>
      </c>
      <c r="I23" s="113">
        <f t="shared" si="22"/>
        <v>69322.710976879986</v>
      </c>
      <c r="J23" s="113">
        <f t="shared" si="22"/>
        <v>73693.173906733515</v>
      </c>
      <c r="K23" s="113">
        <f t="shared" si="22"/>
        <v>78339.173467397573</v>
      </c>
      <c r="L23" s="113">
        <f t="shared" si="22"/>
        <v>83278.080915907689</v>
      </c>
      <c r="M23" s="113">
        <f t="shared" si="22"/>
        <v>88528.362683360494</v>
      </c>
      <c r="N23" s="113">
        <f t="shared" si="22"/>
        <v>94109.649420362082</v>
      </c>
      <c r="O23" s="113">
        <f t="shared" si="22"/>
        <v>100042.80939545855</v>
      </c>
      <c r="P23" s="113">
        <f t="shared" si="22"/>
        <v>106350.02652098431</v>
      </c>
      <c r="Q23" s="113">
        <f t="shared" si="22"/>
        <v>113054.88329806441</v>
      </c>
      <c r="R23" s="87"/>
      <c r="S23" s="87"/>
      <c r="T23" s="87"/>
      <c r="U23" s="84"/>
      <c r="V23" s="84"/>
      <c r="W23" s="84"/>
      <c r="X23" s="84"/>
      <c r="Y23" s="84"/>
      <c r="Z23" s="84"/>
      <c r="AA23" s="84"/>
      <c r="AB23" s="84"/>
      <c r="AC23" s="84"/>
    </row>
    <row r="24" spans="3:29">
      <c r="C24" s="27" t="s">
        <v>16</v>
      </c>
      <c r="D24" s="117"/>
      <c r="E24" s="117">
        <f t="shared" ref="E24" si="23">E23/E9</f>
        <v>0.30477290717326661</v>
      </c>
      <c r="F24" s="117">
        <f t="shared" ref="F24:Q24" si="24">F23/F9</f>
        <v>0.27835410106706115</v>
      </c>
      <c r="G24" s="117">
        <f t="shared" si="24"/>
        <v>0.26760428208729942</v>
      </c>
      <c r="H24" s="117">
        <f t="shared" si="24"/>
        <v>0.26760428208729947</v>
      </c>
      <c r="I24" s="117">
        <f t="shared" si="24"/>
        <v>0.26760428208729942</v>
      </c>
      <c r="J24" s="117">
        <f t="shared" si="24"/>
        <v>0.26760428208729953</v>
      </c>
      <c r="K24" s="117">
        <f t="shared" si="24"/>
        <v>0.26760428208729947</v>
      </c>
      <c r="L24" s="117">
        <f t="shared" si="24"/>
        <v>0.26760428208729953</v>
      </c>
      <c r="M24" s="117">
        <f t="shared" si="24"/>
        <v>0.26760428208729947</v>
      </c>
      <c r="N24" s="117">
        <f t="shared" si="24"/>
        <v>0.26760428208729947</v>
      </c>
      <c r="O24" s="117">
        <f t="shared" si="24"/>
        <v>0.26760428208729953</v>
      </c>
      <c r="P24" s="117">
        <f t="shared" si="24"/>
        <v>0.26760428208729942</v>
      </c>
      <c r="Q24" s="117">
        <f t="shared" si="24"/>
        <v>0.26760428208729942</v>
      </c>
      <c r="R24" s="87"/>
      <c r="S24" s="87"/>
      <c r="T24" s="87"/>
      <c r="U24" s="84"/>
      <c r="V24" s="84"/>
      <c r="W24" s="84"/>
      <c r="X24" s="84"/>
      <c r="Y24" s="84"/>
      <c r="Z24" s="84"/>
      <c r="AA24" s="84"/>
      <c r="AB24" s="84"/>
      <c r="AC24" s="84"/>
    </row>
    <row r="25" spans="3:29" s="87" customFormat="1">
      <c r="C25" s="27"/>
      <c r="D25" s="117"/>
      <c r="E25" s="117"/>
      <c r="F25" s="117"/>
      <c r="G25" s="117"/>
      <c r="H25" s="117"/>
      <c r="I25" s="117"/>
      <c r="J25" s="117"/>
      <c r="K25" s="117"/>
      <c r="L25" s="117"/>
      <c r="M25" s="117"/>
      <c r="N25" s="117"/>
      <c r="O25" s="117"/>
      <c r="P25" s="117"/>
      <c r="Q25" s="117"/>
      <c r="U25" s="84"/>
      <c r="V25" s="84"/>
      <c r="W25" s="84"/>
      <c r="X25" s="84"/>
      <c r="Y25" s="84"/>
      <c r="Z25" s="84"/>
      <c r="AA25" s="84"/>
      <c r="AB25" s="84"/>
      <c r="AC25" s="84"/>
    </row>
    <row r="26" spans="3:29">
      <c r="C26" s="37" t="s">
        <v>17</v>
      </c>
      <c r="D26" s="112"/>
      <c r="E26" s="112">
        <v>11257</v>
      </c>
      <c r="F26" s="112">
        <v>10505</v>
      </c>
      <c r="G26" s="112">
        <v>10157</v>
      </c>
      <c r="H26" s="113">
        <f t="shared" ref="H26:Q26" si="25">H9*T26</f>
        <v>10797.34991351286</v>
      </c>
      <c r="I26" s="113">
        <f t="shared" si="25"/>
        <v>11478.070803862971</v>
      </c>
      <c r="J26" s="113">
        <f t="shared" si="25"/>
        <v>12201.707866632305</v>
      </c>
      <c r="K26" s="113">
        <f t="shared" si="25"/>
        <v>12970.966759721523</v>
      </c>
      <c r="L26" s="113">
        <f t="shared" si="25"/>
        <v>13788.723719726038</v>
      </c>
      <c r="M26" s="113">
        <f t="shared" si="25"/>
        <v>14658.036316100883</v>
      </c>
      <c r="N26" s="113">
        <f t="shared" si="25"/>
        <v>15582.154883323839</v>
      </c>
      <c r="O26" s="113">
        <f t="shared" si="25"/>
        <v>16564.534673801387</v>
      </c>
      <c r="P26" s="113">
        <f t="shared" si="25"/>
        <v>17608.848776956795</v>
      </c>
      <c r="Q26" s="113">
        <f t="shared" si="25"/>
        <v>18719.001852804518</v>
      </c>
      <c r="R26" s="87"/>
      <c r="S26" s="87" t="str">
        <f>C26</f>
        <v>DA (from cash flow statement)</v>
      </c>
      <c r="T26" s="114">
        <f>G26/G$9</f>
        <v>4.4308435921372923E-2</v>
      </c>
      <c r="U26" s="115">
        <f t="shared" ref="U26:AC26" si="26">T26</f>
        <v>4.4308435921372923E-2</v>
      </c>
      <c r="V26" s="115">
        <f t="shared" si="26"/>
        <v>4.4308435921372923E-2</v>
      </c>
      <c r="W26" s="115">
        <f t="shared" si="26"/>
        <v>4.4308435921372923E-2</v>
      </c>
      <c r="X26" s="115">
        <f t="shared" si="26"/>
        <v>4.4308435921372923E-2</v>
      </c>
      <c r="Y26" s="115">
        <f t="shared" si="26"/>
        <v>4.4308435921372923E-2</v>
      </c>
      <c r="Z26" s="115">
        <f t="shared" si="26"/>
        <v>4.4308435921372923E-2</v>
      </c>
      <c r="AA26" s="115">
        <f t="shared" si="26"/>
        <v>4.4308435921372923E-2</v>
      </c>
      <c r="AB26" s="115">
        <f t="shared" si="26"/>
        <v>4.4308435921372923E-2</v>
      </c>
      <c r="AC26" s="115">
        <f t="shared" si="26"/>
        <v>4.4308435921372923E-2</v>
      </c>
    </row>
    <row r="27" spans="3:29" s="87" customFormat="1">
      <c r="D27" s="112"/>
      <c r="E27" s="112"/>
      <c r="F27" s="112"/>
      <c r="G27" s="112"/>
      <c r="H27" s="113"/>
      <c r="I27" s="113"/>
      <c r="J27" s="113"/>
      <c r="K27" s="113"/>
      <c r="L27" s="113"/>
      <c r="M27" s="113"/>
      <c r="N27" s="113"/>
      <c r="O27" s="113"/>
      <c r="P27" s="113"/>
      <c r="Q27" s="113"/>
      <c r="T27" s="122"/>
      <c r="U27" s="115"/>
      <c r="V27" s="115"/>
      <c r="W27" s="115"/>
      <c r="X27" s="115"/>
      <c r="Y27" s="115"/>
      <c r="Z27" s="115"/>
      <c r="AA27" s="115"/>
      <c r="AB27" s="115"/>
      <c r="AC27" s="115"/>
    </row>
    <row r="28" spans="3:29">
      <c r="C28" s="3" t="s">
        <v>18</v>
      </c>
      <c r="D28" s="113"/>
      <c r="E28" s="113">
        <f>E23+E26</f>
        <v>82487</v>
      </c>
      <c r="F28" s="113">
        <f>F23+F26</f>
        <v>70529</v>
      </c>
      <c r="G28" s="113">
        <f t="shared" ref="G28:Q28" si="27">G23+G26</f>
        <v>71501</v>
      </c>
      <c r="H28" s="113">
        <f t="shared" si="27"/>
        <v>76008.793557751618</v>
      </c>
      <c r="I28" s="113">
        <f t="shared" si="27"/>
        <v>80800.781780742953</v>
      </c>
      <c r="J28" s="113">
        <f t="shared" si="27"/>
        <v>85894.881773365822</v>
      </c>
      <c r="K28" s="113">
        <f t="shared" si="27"/>
        <v>91310.140227119089</v>
      </c>
      <c r="L28" s="113">
        <f t="shared" si="27"/>
        <v>97066.804635633729</v>
      </c>
      <c r="M28" s="113">
        <f t="shared" si="27"/>
        <v>103186.39899946138</v>
      </c>
      <c r="N28" s="113">
        <f t="shared" si="27"/>
        <v>109691.80430368592</v>
      </c>
      <c r="O28" s="113">
        <f t="shared" si="27"/>
        <v>116607.34406925994</v>
      </c>
      <c r="P28" s="113">
        <f t="shared" si="27"/>
        <v>123958.87529794109</v>
      </c>
      <c r="Q28" s="113">
        <f t="shared" si="27"/>
        <v>131773.88515086891</v>
      </c>
      <c r="R28" s="87"/>
      <c r="S28" s="87"/>
      <c r="T28" s="87"/>
      <c r="U28" s="84"/>
      <c r="V28" s="84"/>
      <c r="W28" s="84"/>
      <c r="X28" s="84"/>
      <c r="Y28" s="84"/>
      <c r="Z28" s="84"/>
      <c r="AA28" s="84"/>
      <c r="AB28" s="84"/>
      <c r="AC28" s="84"/>
    </row>
    <row r="29" spans="3:29">
      <c r="C29" s="27" t="s">
        <v>16</v>
      </c>
      <c r="D29" s="117"/>
      <c r="E29" s="117">
        <f t="shared" ref="E29" si="28">E28/E9</f>
        <v>0.35293840788995146</v>
      </c>
      <c r="F29" s="117">
        <f t="shared" ref="F29:Q29" si="29">F28/F9</f>
        <v>0.32706977865784947</v>
      </c>
      <c r="G29" s="117">
        <f t="shared" si="29"/>
        <v>0.31191271800867237</v>
      </c>
      <c r="H29" s="117">
        <f t="shared" si="29"/>
        <v>0.31191271800867243</v>
      </c>
      <c r="I29" s="117">
        <f t="shared" si="29"/>
        <v>0.31191271800867237</v>
      </c>
      <c r="J29" s="117">
        <f t="shared" si="29"/>
        <v>0.31191271800867243</v>
      </c>
      <c r="K29" s="117">
        <f t="shared" si="29"/>
        <v>0.31191271800867237</v>
      </c>
      <c r="L29" s="117">
        <f t="shared" si="29"/>
        <v>0.31191271800867248</v>
      </c>
      <c r="M29" s="117">
        <f t="shared" si="29"/>
        <v>0.31191271800867237</v>
      </c>
      <c r="N29" s="117">
        <f t="shared" si="29"/>
        <v>0.31191271800867237</v>
      </c>
      <c r="O29" s="117">
        <f t="shared" si="29"/>
        <v>0.31191271800867248</v>
      </c>
      <c r="P29" s="117">
        <f t="shared" si="29"/>
        <v>0.31191271800867232</v>
      </c>
      <c r="Q29" s="117">
        <f t="shared" si="29"/>
        <v>0.31191271800867226</v>
      </c>
      <c r="R29" s="87"/>
      <c r="S29" s="87"/>
      <c r="T29" s="87"/>
      <c r="U29" s="84"/>
      <c r="V29" s="84"/>
      <c r="W29" s="84"/>
      <c r="X29" s="84"/>
      <c r="Y29" s="84"/>
      <c r="Z29" s="84"/>
      <c r="AA29" s="84"/>
      <c r="AB29" s="84"/>
      <c r="AC29" s="84"/>
    </row>
    <row r="30" spans="3:29">
      <c r="F30" s="87"/>
      <c r="G30" s="87"/>
      <c r="H30" s="87"/>
      <c r="I30" s="87"/>
      <c r="J30" s="87"/>
      <c r="K30" s="87"/>
      <c r="L30" s="87"/>
      <c r="M30" s="87"/>
      <c r="N30" s="87"/>
      <c r="O30" s="87"/>
      <c r="P30" s="87"/>
      <c r="Q30" s="87"/>
      <c r="R30" s="87"/>
      <c r="S30" s="87"/>
      <c r="T30" s="87"/>
      <c r="U30" s="84"/>
      <c r="V30" s="84"/>
      <c r="W30" s="84"/>
      <c r="X30" s="84"/>
      <c r="Y30" s="84"/>
      <c r="Z30" s="84"/>
      <c r="AA30" s="84"/>
      <c r="AB30" s="84"/>
      <c r="AC30" s="84"/>
    </row>
    <row r="31" spans="3:29">
      <c r="C31" s="37" t="s">
        <v>19</v>
      </c>
      <c r="D31" s="112"/>
      <c r="E31" s="112">
        <v>0</v>
      </c>
      <c r="F31" s="112">
        <v>0</v>
      </c>
      <c r="G31" s="112">
        <v>0</v>
      </c>
      <c r="H31" s="123">
        <f>CF!F86-CF!F76</f>
        <v>0</v>
      </c>
      <c r="I31" s="123">
        <f>CF!G86-CF!G76</f>
        <v>0</v>
      </c>
      <c r="J31" s="123">
        <f>CF!H86-CF!H76</f>
        <v>0</v>
      </c>
      <c r="K31" s="123">
        <f>CF!I86-CF!I76</f>
        <v>0</v>
      </c>
      <c r="L31" s="123">
        <f>CF!J86-CF!J76</f>
        <v>0</v>
      </c>
      <c r="M31" s="123">
        <f>CF!K86-CF!K76</f>
        <v>0</v>
      </c>
      <c r="N31" s="123">
        <f>CF!L86-CF!L76</f>
        <v>0</v>
      </c>
      <c r="O31" s="123">
        <f>CF!M86-CF!M76</f>
        <v>0</v>
      </c>
      <c r="P31" s="123">
        <f>CF!N86-CF!N76</f>
        <v>0</v>
      </c>
      <c r="Q31" s="123">
        <f>CF!O86-CF!O76</f>
        <v>0</v>
      </c>
      <c r="R31" s="87"/>
      <c r="S31" s="87"/>
      <c r="T31" s="87"/>
      <c r="U31" s="84"/>
      <c r="V31" s="84"/>
      <c r="W31" s="84"/>
      <c r="X31" s="84"/>
      <c r="Y31" s="84"/>
      <c r="Z31" s="84"/>
      <c r="AA31" s="84"/>
      <c r="AB31" s="84"/>
      <c r="AC31" s="84"/>
    </row>
    <row r="32" spans="3:29">
      <c r="C32" s="37" t="s">
        <v>20</v>
      </c>
      <c r="D32" s="118"/>
      <c r="E32" s="118">
        <v>0</v>
      </c>
      <c r="F32" s="118">
        <v>0</v>
      </c>
      <c r="G32" s="118">
        <v>0</v>
      </c>
      <c r="H32" s="124">
        <f>CF!F76</f>
        <v>0</v>
      </c>
      <c r="I32" s="124">
        <f>CF!G76</f>
        <v>0</v>
      </c>
      <c r="J32" s="124">
        <f>CF!H76</f>
        <v>0</v>
      </c>
      <c r="K32" s="124">
        <f>CF!I76</f>
        <v>0</v>
      </c>
      <c r="L32" s="124">
        <f>CF!J76</f>
        <v>0</v>
      </c>
      <c r="M32" s="124">
        <f>CF!K76</f>
        <v>0</v>
      </c>
      <c r="N32" s="124">
        <f>CF!L76</f>
        <v>0</v>
      </c>
      <c r="O32" s="124">
        <f>CF!M76</f>
        <v>0</v>
      </c>
      <c r="P32" s="124">
        <f>CF!N76</f>
        <v>0</v>
      </c>
      <c r="Q32" s="124">
        <f>CF!O76</f>
        <v>0</v>
      </c>
      <c r="R32" s="87"/>
      <c r="S32" s="87"/>
      <c r="T32" s="87"/>
      <c r="U32" s="84"/>
      <c r="V32" s="84"/>
      <c r="W32" s="84"/>
      <c r="X32" s="84"/>
      <c r="Y32" s="84"/>
      <c r="Z32" s="84"/>
      <c r="AA32" s="84"/>
      <c r="AB32" s="84"/>
      <c r="AC32" s="84"/>
    </row>
    <row r="33" spans="3:29" s="37" customFormat="1">
      <c r="C33" s="37" t="s">
        <v>21</v>
      </c>
      <c r="D33" s="91"/>
      <c r="E33" s="91">
        <v>-1285</v>
      </c>
      <c r="F33" s="91">
        <v>-1348</v>
      </c>
      <c r="G33" s="91">
        <v>-2745</v>
      </c>
      <c r="H33" s="28">
        <f t="shared" ref="H33:Q33" si="30">H9*T33</f>
        <v>-2918.0590245734766</v>
      </c>
      <c r="I33" s="28">
        <f t="shared" si="30"/>
        <v>-3102.0285868468891</v>
      </c>
      <c r="J33" s="28">
        <f t="shared" si="30"/>
        <v>-3297.596543655181</v>
      </c>
      <c r="K33" s="28">
        <f t="shared" si="30"/>
        <v>-3505.4941178926433</v>
      </c>
      <c r="L33" s="28">
        <f t="shared" si="30"/>
        <v>-3726.4986325340133</v>
      </c>
      <c r="M33" s="28">
        <f t="shared" si="30"/>
        <v>-3961.4364170224394</v>
      </c>
      <c r="N33" s="28">
        <f t="shared" si="30"/>
        <v>-4211.185896891202</v>
      </c>
      <c r="O33" s="28">
        <f t="shared" si="30"/>
        <v>-4476.6808781711925</v>
      </c>
      <c r="P33" s="28">
        <f t="shared" si="30"/>
        <v>-4758.9140388644682</v>
      </c>
      <c r="Q33" s="28">
        <f t="shared" si="30"/>
        <v>-5058.940640538387</v>
      </c>
      <c r="R33" s="87"/>
      <c r="S33" s="87" t="str">
        <f>C33</f>
        <v>(Other income) / expense</v>
      </c>
      <c r="T33" s="114">
        <f>G33/G$9</f>
        <v>-1.1974663444340717E-2</v>
      </c>
      <c r="U33" s="115">
        <f t="shared" ref="U33:AC33" si="31">T33</f>
        <v>-1.1974663444340717E-2</v>
      </c>
      <c r="V33" s="115">
        <f t="shared" si="31"/>
        <v>-1.1974663444340717E-2</v>
      </c>
      <c r="W33" s="115">
        <f t="shared" si="31"/>
        <v>-1.1974663444340717E-2</v>
      </c>
      <c r="X33" s="115">
        <f t="shared" si="31"/>
        <v>-1.1974663444340717E-2</v>
      </c>
      <c r="Y33" s="115">
        <f t="shared" si="31"/>
        <v>-1.1974663444340717E-2</v>
      </c>
      <c r="Z33" s="115">
        <f t="shared" si="31"/>
        <v>-1.1974663444340717E-2</v>
      </c>
      <c r="AA33" s="115">
        <f t="shared" si="31"/>
        <v>-1.1974663444340717E-2</v>
      </c>
      <c r="AB33" s="115">
        <f t="shared" si="31"/>
        <v>-1.1974663444340717E-2</v>
      </c>
      <c r="AC33" s="115">
        <f t="shared" si="31"/>
        <v>-1.1974663444340717E-2</v>
      </c>
    </row>
    <row r="34" spans="3:29">
      <c r="C34" s="37" t="s">
        <v>22</v>
      </c>
      <c r="D34" s="120"/>
      <c r="E34" s="120">
        <f>SUM(E31:E33)</f>
        <v>-1285</v>
      </c>
      <c r="F34" s="120">
        <f t="shared" ref="F34:G34" si="32">SUM(F31:F33)</f>
        <v>-1348</v>
      </c>
      <c r="G34" s="120">
        <f t="shared" si="32"/>
        <v>-2745</v>
      </c>
      <c r="H34" s="121">
        <f t="shared" ref="H34:Q34" si="33">SUM(H31:H33)</f>
        <v>-2918.0590245734766</v>
      </c>
      <c r="I34" s="121">
        <f t="shared" si="33"/>
        <v>-3102.0285868468891</v>
      </c>
      <c r="J34" s="121">
        <f t="shared" si="33"/>
        <v>-3297.596543655181</v>
      </c>
      <c r="K34" s="121">
        <f t="shared" si="33"/>
        <v>-3505.4941178926433</v>
      </c>
      <c r="L34" s="121">
        <f t="shared" si="33"/>
        <v>-3726.4986325340133</v>
      </c>
      <c r="M34" s="121">
        <f t="shared" si="33"/>
        <v>-3961.4364170224394</v>
      </c>
      <c r="N34" s="121">
        <f t="shared" si="33"/>
        <v>-4211.185896891202</v>
      </c>
      <c r="O34" s="121">
        <f t="shared" si="33"/>
        <v>-4476.6808781711925</v>
      </c>
      <c r="P34" s="121">
        <f t="shared" si="33"/>
        <v>-4758.9140388644682</v>
      </c>
      <c r="Q34" s="121">
        <f t="shared" si="33"/>
        <v>-5058.940640538387</v>
      </c>
      <c r="R34" s="87"/>
      <c r="S34" s="87"/>
      <c r="T34" s="87"/>
      <c r="U34" s="84"/>
      <c r="V34" s="84"/>
      <c r="W34" s="84"/>
      <c r="X34" s="84"/>
      <c r="Y34" s="84"/>
      <c r="Z34" s="84"/>
      <c r="AA34" s="84"/>
      <c r="AB34" s="84"/>
      <c r="AC34" s="84"/>
    </row>
    <row r="35" spans="3:29">
      <c r="F35" s="87"/>
      <c r="G35" s="87"/>
      <c r="H35" s="87"/>
      <c r="I35" s="87"/>
      <c r="J35" s="87"/>
      <c r="K35" s="87"/>
      <c r="L35" s="87"/>
      <c r="M35" s="87"/>
      <c r="N35" s="87"/>
      <c r="O35" s="87"/>
      <c r="P35" s="87"/>
      <c r="Q35" s="87"/>
      <c r="R35" s="87"/>
      <c r="S35" s="87"/>
      <c r="T35" s="87"/>
      <c r="U35" s="84"/>
      <c r="V35" s="84"/>
      <c r="W35" s="84"/>
      <c r="X35" s="84"/>
      <c r="Y35" s="84"/>
      <c r="Z35" s="84"/>
      <c r="AA35" s="84"/>
      <c r="AB35" s="84"/>
      <c r="AC35" s="84"/>
    </row>
    <row r="36" spans="3:29">
      <c r="C36" s="87" t="s">
        <v>23</v>
      </c>
      <c r="D36" s="112"/>
      <c r="E36" s="112">
        <f>E21-E34</f>
        <v>72515</v>
      </c>
      <c r="F36" s="112">
        <f t="shared" ref="F36:G36" si="34">F21-F34</f>
        <v>61372</v>
      </c>
      <c r="G36" s="112">
        <f t="shared" si="34"/>
        <v>64089</v>
      </c>
      <c r="H36" s="113">
        <f>H21-H34</f>
        <v>68129.502668812231</v>
      </c>
      <c r="I36" s="113">
        <f t="shared" ref="I36:Q36" si="35">I21-I34</f>
        <v>72424.739563726878</v>
      </c>
      <c r="J36" s="113">
        <f t="shared" si="35"/>
        <v>76990.770450388693</v>
      </c>
      <c r="K36" s="113">
        <f t="shared" si="35"/>
        <v>81844.667585290212</v>
      </c>
      <c r="L36" s="113">
        <f t="shared" si="35"/>
        <v>87004.579548441703</v>
      </c>
      <c r="M36" s="113">
        <f t="shared" si="35"/>
        <v>92489.799100382937</v>
      </c>
      <c r="N36" s="113">
        <f t="shared" si="35"/>
        <v>98320.835317253281</v>
      </c>
      <c r="O36" s="113">
        <f t="shared" si="35"/>
        <v>104519.49027362974</v>
      </c>
      <c r="P36" s="113">
        <f t="shared" si="35"/>
        <v>111108.94055984878</v>
      </c>
      <c r="Q36" s="113">
        <f t="shared" si="35"/>
        <v>118113.8239386028</v>
      </c>
      <c r="R36" s="87"/>
      <c r="S36" s="87"/>
      <c r="T36" s="87"/>
      <c r="U36" s="84"/>
      <c r="V36" s="84"/>
      <c r="W36" s="84"/>
      <c r="X36" s="84"/>
      <c r="Y36" s="84"/>
      <c r="Z36" s="84"/>
      <c r="AA36" s="84"/>
      <c r="AB36" s="84"/>
      <c r="AC36" s="84"/>
    </row>
    <row r="37" spans="3:29">
      <c r="F37" s="87"/>
      <c r="G37" s="87"/>
      <c r="H37" s="87"/>
      <c r="I37" s="87"/>
      <c r="J37" s="87"/>
      <c r="K37" s="87"/>
      <c r="L37" s="87"/>
      <c r="M37" s="87"/>
      <c r="N37" s="87"/>
      <c r="O37" s="87"/>
      <c r="P37" s="87"/>
      <c r="Q37" s="87"/>
      <c r="R37" s="87"/>
      <c r="S37" s="87"/>
      <c r="T37" s="87"/>
      <c r="U37" s="84"/>
      <c r="V37" s="84"/>
      <c r="W37" s="84"/>
      <c r="X37" s="84"/>
      <c r="Y37" s="84"/>
      <c r="Z37" s="84"/>
      <c r="AA37" s="84"/>
      <c r="AB37" s="84"/>
      <c r="AC37" s="84"/>
    </row>
    <row r="38" spans="3:29">
      <c r="C38" s="3" t="s">
        <v>24</v>
      </c>
      <c r="D38" s="112"/>
      <c r="E38" s="112">
        <v>19121</v>
      </c>
      <c r="F38" s="112">
        <v>15685</v>
      </c>
      <c r="G38" s="112">
        <v>15738</v>
      </c>
      <c r="H38" s="113">
        <f t="shared" ref="H38:Q38" si="36">T38*H36</f>
        <v>16730.20507422127</v>
      </c>
      <c r="I38" s="113">
        <f t="shared" si="36"/>
        <v>17784.963897922164</v>
      </c>
      <c r="J38" s="113">
        <f t="shared" si="36"/>
        <v>18906.220183623045</v>
      </c>
      <c r="K38" s="113">
        <f t="shared" si="36"/>
        <v>20098.166275917822</v>
      </c>
      <c r="L38" s="113">
        <f t="shared" si="36"/>
        <v>21365.258826528352</v>
      </c>
      <c r="M38" s="113">
        <f t="shared" si="36"/>
        <v>22712.235457595325</v>
      </c>
      <c r="N38" s="113">
        <f t="shared" si="36"/>
        <v>24144.132475509559</v>
      </c>
      <c r="O38" s="113">
        <f t="shared" si="36"/>
        <v>25666.303701514844</v>
      </c>
      <c r="P38" s="113">
        <f t="shared" si="36"/>
        <v>27284.440489489618</v>
      </c>
      <c r="Q38" s="113">
        <f t="shared" si="36"/>
        <v>29004.593005753421</v>
      </c>
      <c r="R38" s="87"/>
      <c r="S38" s="87" t="str">
        <f>C38</f>
        <v>Income Tax Expense</v>
      </c>
      <c r="T38" s="114">
        <f>G38/G$36</f>
        <v>0.24556476150353415</v>
      </c>
      <c r="U38" s="115">
        <f t="shared" ref="U38:AC38" si="37">T38</f>
        <v>0.24556476150353415</v>
      </c>
      <c r="V38" s="115">
        <f t="shared" si="37"/>
        <v>0.24556476150353415</v>
      </c>
      <c r="W38" s="115">
        <f t="shared" si="37"/>
        <v>0.24556476150353415</v>
      </c>
      <c r="X38" s="115">
        <f t="shared" si="37"/>
        <v>0.24556476150353415</v>
      </c>
      <c r="Y38" s="115">
        <f t="shared" si="37"/>
        <v>0.24556476150353415</v>
      </c>
      <c r="Z38" s="115">
        <f t="shared" si="37"/>
        <v>0.24556476150353415</v>
      </c>
      <c r="AA38" s="115">
        <f t="shared" si="37"/>
        <v>0.24556476150353415</v>
      </c>
      <c r="AB38" s="115">
        <f t="shared" si="37"/>
        <v>0.24556476150353415</v>
      </c>
      <c r="AC38" s="115">
        <f t="shared" si="37"/>
        <v>0.24556476150353415</v>
      </c>
    </row>
    <row r="39" spans="3:29">
      <c r="C39" s="3" t="s">
        <v>25</v>
      </c>
      <c r="D39" s="117"/>
      <c r="E39" s="117">
        <f t="shared" ref="E39" si="38">E38/E36</f>
        <v>0.26368337585327173</v>
      </c>
      <c r="F39" s="117">
        <f t="shared" ref="F39:Q39" si="39">F38/F36</f>
        <v>0.25557257381216192</v>
      </c>
      <c r="G39" s="117">
        <f t="shared" si="39"/>
        <v>0.24556476150353415</v>
      </c>
      <c r="H39" s="117">
        <f t="shared" si="39"/>
        <v>0.24556476150353418</v>
      </c>
      <c r="I39" s="117">
        <f t="shared" si="39"/>
        <v>0.24556476150353412</v>
      </c>
      <c r="J39" s="117">
        <f t="shared" si="39"/>
        <v>0.24556476150353418</v>
      </c>
      <c r="K39" s="117">
        <f t="shared" si="39"/>
        <v>0.24556476150353412</v>
      </c>
      <c r="L39" s="117">
        <f t="shared" si="39"/>
        <v>0.24556476150353415</v>
      </c>
      <c r="M39" s="117">
        <f t="shared" si="39"/>
        <v>0.24556476150353418</v>
      </c>
      <c r="N39" s="117">
        <f t="shared" si="39"/>
        <v>0.24556476150353415</v>
      </c>
      <c r="O39" s="117">
        <f t="shared" si="39"/>
        <v>0.24556476150353415</v>
      </c>
      <c r="P39" s="117">
        <f t="shared" si="39"/>
        <v>0.24556476150353415</v>
      </c>
      <c r="Q39" s="117">
        <f t="shared" si="39"/>
        <v>0.24556476150353415</v>
      </c>
      <c r="R39" s="87"/>
      <c r="S39" s="87"/>
      <c r="T39" s="87"/>
      <c r="U39" s="84"/>
      <c r="V39" s="84"/>
      <c r="W39" s="84"/>
      <c r="X39" s="84"/>
      <c r="Y39" s="84"/>
      <c r="Z39" s="84"/>
      <c r="AA39" s="84"/>
      <c r="AB39" s="84"/>
      <c r="AC39" s="84"/>
    </row>
    <row r="40" spans="3:29">
      <c r="F40" s="87"/>
      <c r="G40" s="87"/>
      <c r="H40" s="87"/>
      <c r="I40" s="87"/>
      <c r="J40" s="87"/>
      <c r="K40" s="87"/>
      <c r="L40" s="87"/>
      <c r="M40" s="87"/>
      <c r="N40" s="87"/>
      <c r="O40" s="87"/>
      <c r="P40" s="87"/>
      <c r="Q40" s="87"/>
      <c r="R40" s="87"/>
      <c r="S40" s="87"/>
      <c r="T40" s="87"/>
      <c r="U40" s="84"/>
      <c r="V40" s="84"/>
      <c r="W40" s="84"/>
      <c r="X40" s="84"/>
      <c r="Y40" s="84"/>
      <c r="Z40" s="84"/>
      <c r="AA40" s="84"/>
      <c r="AB40" s="84"/>
      <c r="AC40" s="84"/>
    </row>
    <row r="41" spans="3:29" s="37" customFormat="1">
      <c r="C41" s="37" t="s">
        <v>26</v>
      </c>
      <c r="D41" s="112"/>
      <c r="E41" s="112">
        <v>0</v>
      </c>
      <c r="F41" s="112">
        <v>0</v>
      </c>
      <c r="G41" s="112">
        <v>0</v>
      </c>
      <c r="H41" s="113">
        <f>G41</f>
        <v>0</v>
      </c>
      <c r="I41" s="113">
        <f t="shared" ref="I41:Q41" si="40">H41</f>
        <v>0</v>
      </c>
      <c r="J41" s="113">
        <f t="shared" si="40"/>
        <v>0</v>
      </c>
      <c r="K41" s="113">
        <f t="shared" si="40"/>
        <v>0</v>
      </c>
      <c r="L41" s="113">
        <f t="shared" si="40"/>
        <v>0</v>
      </c>
      <c r="M41" s="113">
        <f t="shared" si="40"/>
        <v>0</v>
      </c>
      <c r="N41" s="113">
        <f t="shared" si="40"/>
        <v>0</v>
      </c>
      <c r="O41" s="113">
        <f t="shared" si="40"/>
        <v>0</v>
      </c>
      <c r="P41" s="113">
        <f t="shared" si="40"/>
        <v>0</v>
      </c>
      <c r="Q41" s="113">
        <f t="shared" si="40"/>
        <v>0</v>
      </c>
      <c r="R41" s="87"/>
      <c r="S41" s="87"/>
      <c r="T41" s="87"/>
      <c r="U41" s="84"/>
      <c r="V41" s="84"/>
      <c r="W41" s="84"/>
      <c r="X41" s="84"/>
      <c r="Y41" s="84"/>
      <c r="Z41" s="84"/>
      <c r="AA41" s="84"/>
      <c r="AB41" s="84"/>
      <c r="AC41" s="84"/>
    </row>
    <row r="42" spans="3:29">
      <c r="C42" s="3" t="s">
        <v>27</v>
      </c>
      <c r="D42" s="125"/>
      <c r="E42" s="125">
        <f>E36-E38+E41</f>
        <v>53394</v>
      </c>
      <c r="F42" s="125">
        <f>F36-F38+F41</f>
        <v>45687</v>
      </c>
      <c r="G42" s="125">
        <f>G36-G38+G41</f>
        <v>48351</v>
      </c>
      <c r="H42" s="125">
        <f t="shared" ref="H42:Q42" si="41">H36-H38+H41</f>
        <v>51399.297594590957</v>
      </c>
      <c r="I42" s="125">
        <f t="shared" si="41"/>
        <v>54639.775665804715</v>
      </c>
      <c r="J42" s="125">
        <f t="shared" si="41"/>
        <v>58084.550266765647</v>
      </c>
      <c r="K42" s="125">
        <f t="shared" si="41"/>
        <v>61746.50130937239</v>
      </c>
      <c r="L42" s="125">
        <f t="shared" si="41"/>
        <v>65639.320721913347</v>
      </c>
      <c r="M42" s="125">
        <f t="shared" si="41"/>
        <v>69777.563642787616</v>
      </c>
      <c r="N42" s="125">
        <f t="shared" si="41"/>
        <v>74176.702841743725</v>
      </c>
      <c r="O42" s="125">
        <f t="shared" si="41"/>
        <v>78853.186572114893</v>
      </c>
      <c r="P42" s="125">
        <f t="shared" si="41"/>
        <v>83824.500070359165</v>
      </c>
      <c r="Q42" s="125">
        <f t="shared" si="41"/>
        <v>89109.230932849372</v>
      </c>
      <c r="R42" s="87"/>
      <c r="S42" s="87"/>
      <c r="T42" s="87"/>
      <c r="U42" s="84"/>
      <c r="V42" s="84"/>
      <c r="W42" s="84"/>
      <c r="X42" s="84"/>
      <c r="Y42" s="84"/>
      <c r="Z42" s="84"/>
      <c r="AA42" s="84"/>
      <c r="AB42" s="84"/>
      <c r="AC42" s="84"/>
    </row>
    <row r="43" spans="3:29">
      <c r="C43" s="3" t="s">
        <v>16</v>
      </c>
      <c r="D43" s="117"/>
      <c r="E43" s="117">
        <f t="shared" ref="E43" si="42">E42/E9</f>
        <v>0.22845773698735639</v>
      </c>
      <c r="F43" s="117">
        <f t="shared" ref="F43:Q43" si="43">F42/F9</f>
        <v>0.211867983064288</v>
      </c>
      <c r="G43" s="117">
        <f t="shared" si="43"/>
        <v>0.21092420845075338</v>
      </c>
      <c r="H43" s="117">
        <f t="shared" si="43"/>
        <v>0.21092420845075338</v>
      </c>
      <c r="I43" s="117">
        <f t="shared" si="43"/>
        <v>0.21092420845075341</v>
      </c>
      <c r="J43" s="117">
        <f t="shared" si="43"/>
        <v>0.21092420845075344</v>
      </c>
      <c r="K43" s="117">
        <f t="shared" si="43"/>
        <v>0.21092420845075338</v>
      </c>
      <c r="L43" s="117">
        <f t="shared" si="43"/>
        <v>0.21092420845075346</v>
      </c>
      <c r="M43" s="117">
        <f t="shared" si="43"/>
        <v>0.21092420845075341</v>
      </c>
      <c r="N43" s="117">
        <f t="shared" si="43"/>
        <v>0.21092420845075341</v>
      </c>
      <c r="O43" s="117">
        <f t="shared" si="43"/>
        <v>0.21092420845075344</v>
      </c>
      <c r="P43" s="117">
        <f t="shared" si="43"/>
        <v>0.21092420845075341</v>
      </c>
      <c r="Q43" s="117">
        <f t="shared" si="43"/>
        <v>0.21092420845075333</v>
      </c>
      <c r="R43" s="87"/>
      <c r="S43" s="87"/>
      <c r="T43" s="87"/>
      <c r="U43" s="84"/>
      <c r="V43" s="84"/>
      <c r="W43" s="84"/>
      <c r="X43" s="84"/>
      <c r="Y43" s="84"/>
      <c r="Z43" s="84"/>
      <c r="AA43" s="84"/>
      <c r="AB43" s="84"/>
      <c r="AC43" s="84"/>
    </row>
    <row r="44" spans="3:29">
      <c r="F44" s="87"/>
      <c r="G44" s="87"/>
      <c r="H44" s="87"/>
      <c r="I44" s="87"/>
      <c r="J44" s="87"/>
      <c r="K44" s="87"/>
      <c r="L44" s="87"/>
      <c r="M44" s="87"/>
      <c r="N44" s="87"/>
      <c r="O44" s="87"/>
      <c r="P44" s="87"/>
      <c r="Q44" s="87"/>
      <c r="R44" s="87"/>
      <c r="S44" s="87"/>
      <c r="T44" s="87"/>
      <c r="U44" s="84"/>
      <c r="V44" s="84"/>
      <c r="W44" s="84"/>
      <c r="X44" s="84"/>
      <c r="Y44" s="84"/>
      <c r="Z44" s="84"/>
      <c r="AA44" s="84"/>
      <c r="AB44" s="84"/>
      <c r="AC44" s="84"/>
    </row>
    <row r="45" spans="3:29">
      <c r="C45" s="3" t="s">
        <v>28</v>
      </c>
      <c r="D45" s="112"/>
      <c r="E45" s="112">
        <v>11488</v>
      </c>
      <c r="F45" s="112">
        <v>13548</v>
      </c>
      <c r="G45" s="112">
        <v>12795</v>
      </c>
      <c r="H45" s="113">
        <f t="shared" ref="H45:Q45" si="44">T45*H9</f>
        <v>13601.663103612982</v>
      </c>
      <c r="I45" s="113">
        <f t="shared" si="44"/>
        <v>14459.182429401073</v>
      </c>
      <c r="J45" s="113">
        <f t="shared" si="44"/>
        <v>15370.764217146827</v>
      </c>
      <c r="K45" s="113">
        <f t="shared" si="44"/>
        <v>16339.816844603414</v>
      </c>
      <c r="L45" s="113">
        <f t="shared" si="44"/>
        <v>17369.963571319746</v>
      </c>
      <c r="M45" s="113">
        <f t="shared" si="44"/>
        <v>18465.056085902408</v>
      </c>
      <c r="N45" s="113">
        <f t="shared" si="44"/>
        <v>19629.188907367188</v>
      </c>
      <c r="O45" s="113">
        <f t="shared" si="44"/>
        <v>20866.714694426377</v>
      </c>
      <c r="P45" s="113">
        <f t="shared" si="44"/>
        <v>22182.260519952957</v>
      </c>
      <c r="Q45" s="113">
        <f t="shared" si="44"/>
        <v>23580.745171471281</v>
      </c>
      <c r="R45" s="87"/>
      <c r="S45" s="87" t="str">
        <f>C45</f>
        <v>Cap Ex</v>
      </c>
      <c r="T45" s="114">
        <f>G45/G$9</f>
        <v>5.5816327420888698E-2</v>
      </c>
      <c r="U45" s="115">
        <f t="shared" ref="U45:AC45" si="45">T45</f>
        <v>5.5816327420888698E-2</v>
      </c>
      <c r="V45" s="115">
        <f t="shared" si="45"/>
        <v>5.5816327420888698E-2</v>
      </c>
      <c r="W45" s="115">
        <f t="shared" si="45"/>
        <v>5.5816327420888698E-2</v>
      </c>
      <c r="X45" s="115">
        <f t="shared" si="45"/>
        <v>5.5816327420888698E-2</v>
      </c>
      <c r="Y45" s="115">
        <f t="shared" si="45"/>
        <v>5.5816327420888698E-2</v>
      </c>
      <c r="Z45" s="115">
        <f t="shared" si="45"/>
        <v>5.5816327420888698E-2</v>
      </c>
      <c r="AA45" s="115">
        <f t="shared" si="45"/>
        <v>5.5816327420888698E-2</v>
      </c>
      <c r="AB45" s="115">
        <f t="shared" si="45"/>
        <v>5.5816327420888698E-2</v>
      </c>
      <c r="AC45" s="115">
        <f t="shared" si="45"/>
        <v>5.5816327420888698E-2</v>
      </c>
    </row>
    <row r="46" spans="3:29">
      <c r="D46" s="117"/>
      <c r="E46" s="117">
        <f t="shared" ref="E46" si="46">E45/E9</f>
        <v>4.9153884004021993E-2</v>
      </c>
      <c r="F46" s="117">
        <f t="shared" ref="F46:Q46" si="47">F45/F9</f>
        <v>6.2827225130890049E-2</v>
      </c>
      <c r="G46" s="117">
        <f t="shared" si="47"/>
        <v>5.5816327420888698E-2</v>
      </c>
      <c r="H46" s="117">
        <f t="shared" si="47"/>
        <v>5.5816327420888705E-2</v>
      </c>
      <c r="I46" s="117">
        <f t="shared" si="47"/>
        <v>5.5816327420888698E-2</v>
      </c>
      <c r="J46" s="117">
        <f t="shared" si="47"/>
        <v>5.5816327420888698E-2</v>
      </c>
      <c r="K46" s="117">
        <f t="shared" si="47"/>
        <v>5.5816327420888698E-2</v>
      </c>
      <c r="L46" s="117">
        <f t="shared" si="47"/>
        <v>5.5816327420888705E-2</v>
      </c>
      <c r="M46" s="117">
        <f t="shared" si="47"/>
        <v>5.5816327420888691E-2</v>
      </c>
      <c r="N46" s="117">
        <f t="shared" si="47"/>
        <v>5.5816327420888705E-2</v>
      </c>
      <c r="O46" s="117">
        <f t="shared" si="47"/>
        <v>5.5816327420888698E-2</v>
      </c>
      <c r="P46" s="117">
        <f t="shared" si="47"/>
        <v>5.5816327420888698E-2</v>
      </c>
      <c r="Q46" s="117">
        <f t="shared" si="47"/>
        <v>5.5816327420888698E-2</v>
      </c>
      <c r="R46" s="87"/>
      <c r="S46" s="87"/>
      <c r="T46" s="87"/>
      <c r="U46" s="87"/>
      <c r="V46" s="87"/>
      <c r="W46" s="87"/>
      <c r="X46" s="87"/>
      <c r="Y46" s="87"/>
      <c r="Z46" s="87"/>
      <c r="AA46" s="87"/>
      <c r="AB46" s="87"/>
      <c r="AC46" s="87"/>
    </row>
  </sheetData>
  <pageMargins left="0.7" right="0.7" top="0.75" bottom="0.75" header="0.3" footer="0.3"/>
  <pageSetup scale="62"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CC"/>
  </sheetPr>
  <dimension ref="B3:B4"/>
  <sheetViews>
    <sheetView showGridLines="0" workbookViewId="0"/>
  </sheetViews>
  <sheetFormatPr defaultRowHeight="15"/>
  <cols>
    <col min="2" max="2" width="100.42578125" style="2" bestFit="1" customWidth="1"/>
  </cols>
  <sheetData>
    <row r="3" spans="2:2">
      <c r="B3" s="94" t="s">
        <v>226</v>
      </c>
    </row>
    <row r="4" spans="2:2">
      <c r="B4" s="95" t="s">
        <v>227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0497A"/>
  </sheetPr>
  <dimension ref="A1:D22"/>
  <sheetViews>
    <sheetView workbookViewId="0">
      <selection sqref="A1:XFD1048576"/>
    </sheetView>
  </sheetViews>
  <sheetFormatPr defaultColWidth="9" defaultRowHeight="15"/>
  <cols>
    <col min="1" max="1" width="80" style="196" customWidth="1"/>
    <col min="2" max="2" width="16" style="196" customWidth="1"/>
    <col min="3" max="4" width="14" style="196" customWidth="1"/>
    <col min="5" max="16384" width="9" style="196"/>
  </cols>
  <sheetData>
    <row r="1" spans="1:4">
      <c r="A1" s="218" t="s">
        <v>297</v>
      </c>
      <c r="B1" s="219" t="s">
        <v>298</v>
      </c>
      <c r="C1" s="207"/>
      <c r="D1" s="207"/>
    </row>
    <row r="2" spans="1:4">
      <c r="A2" s="207"/>
      <c r="B2" s="198" t="s">
        <v>299</v>
      </c>
      <c r="C2" s="198" t="s">
        <v>300</v>
      </c>
      <c r="D2" s="198" t="s">
        <v>301</v>
      </c>
    </row>
    <row r="3" spans="1:4">
      <c r="A3" s="199" t="s">
        <v>302</v>
      </c>
    </row>
    <row r="4" spans="1:4">
      <c r="A4" s="200" t="s">
        <v>4</v>
      </c>
      <c r="B4" s="201">
        <v>229234</v>
      </c>
      <c r="C4" s="201">
        <v>215639</v>
      </c>
      <c r="D4" s="201">
        <v>233715</v>
      </c>
    </row>
    <row r="5" spans="1:4">
      <c r="A5" s="200" t="s">
        <v>228</v>
      </c>
      <c r="B5" s="202">
        <v>141048</v>
      </c>
      <c r="C5" s="202">
        <v>131376</v>
      </c>
      <c r="D5" s="202">
        <v>140089</v>
      </c>
    </row>
    <row r="6" spans="1:4">
      <c r="A6" s="200" t="s">
        <v>229</v>
      </c>
      <c r="B6" s="202">
        <v>88186</v>
      </c>
      <c r="C6" s="202">
        <v>84263</v>
      </c>
      <c r="D6" s="202">
        <v>93626</v>
      </c>
    </row>
    <row r="7" spans="1:4">
      <c r="A7" s="199" t="s">
        <v>230</v>
      </c>
    </row>
    <row r="8" spans="1:4">
      <c r="A8" s="200" t="s">
        <v>231</v>
      </c>
      <c r="B8" s="202">
        <v>11581</v>
      </c>
      <c r="C8" s="202">
        <v>10045</v>
      </c>
      <c r="D8" s="202">
        <v>8067</v>
      </c>
    </row>
    <row r="9" spans="1:4">
      <c r="A9" s="200" t="s">
        <v>232</v>
      </c>
      <c r="B9" s="202">
        <v>15261</v>
      </c>
      <c r="C9" s="202">
        <v>14194</v>
      </c>
      <c r="D9" s="202">
        <v>14329</v>
      </c>
    </row>
    <row r="10" spans="1:4">
      <c r="A10" s="200" t="s">
        <v>233</v>
      </c>
      <c r="B10" s="202">
        <v>26842</v>
      </c>
      <c r="C10" s="202">
        <v>24239</v>
      </c>
      <c r="D10" s="202">
        <v>22396</v>
      </c>
    </row>
    <row r="11" spans="1:4">
      <c r="A11" s="200" t="s">
        <v>234</v>
      </c>
      <c r="B11" s="202">
        <v>61344</v>
      </c>
      <c r="C11" s="202">
        <v>60024</v>
      </c>
      <c r="D11" s="202">
        <v>71230</v>
      </c>
    </row>
    <row r="12" spans="1:4">
      <c r="A12" s="200" t="s">
        <v>235</v>
      </c>
      <c r="B12" s="202">
        <v>2745</v>
      </c>
      <c r="C12" s="202">
        <v>1348</v>
      </c>
      <c r="D12" s="202">
        <v>1285</v>
      </c>
    </row>
    <row r="13" spans="1:4">
      <c r="A13" s="200" t="s">
        <v>236</v>
      </c>
      <c r="B13" s="202">
        <v>64089</v>
      </c>
      <c r="C13" s="202">
        <v>61372</v>
      </c>
      <c r="D13" s="202">
        <v>72515</v>
      </c>
    </row>
    <row r="14" spans="1:4">
      <c r="A14" s="200" t="s">
        <v>237</v>
      </c>
      <c r="B14" s="202">
        <v>15738</v>
      </c>
      <c r="C14" s="202">
        <v>15685</v>
      </c>
      <c r="D14" s="202">
        <v>19121</v>
      </c>
    </row>
    <row r="15" spans="1:4">
      <c r="A15" s="200" t="s">
        <v>238</v>
      </c>
      <c r="B15" s="201">
        <v>48351</v>
      </c>
      <c r="C15" s="201">
        <v>45687</v>
      </c>
      <c r="D15" s="201">
        <v>53394</v>
      </c>
    </row>
    <row r="16" spans="1:4">
      <c r="A16" s="199" t="s">
        <v>239</v>
      </c>
    </row>
    <row r="17" spans="1:4">
      <c r="A17" s="200" t="s">
        <v>303</v>
      </c>
      <c r="B17" s="203">
        <v>9.27</v>
      </c>
      <c r="C17" s="203">
        <v>8.35</v>
      </c>
      <c r="D17" s="203">
        <v>9.2799999999999994</v>
      </c>
    </row>
    <row r="18" spans="1:4">
      <c r="A18" s="200" t="s">
        <v>304</v>
      </c>
      <c r="B18" s="203">
        <v>9.2100000000000009</v>
      </c>
      <c r="C18" s="203">
        <v>8.31</v>
      </c>
      <c r="D18" s="203">
        <v>9.2200000000000006</v>
      </c>
    </row>
    <row r="19" spans="1:4">
      <c r="A19" s="199" t="s">
        <v>240</v>
      </c>
    </row>
    <row r="20" spans="1:4">
      <c r="A20" s="200" t="s">
        <v>305</v>
      </c>
      <c r="B20" s="202">
        <v>5217242</v>
      </c>
      <c r="C20" s="202">
        <v>5470820</v>
      </c>
      <c r="D20" s="202">
        <v>5753421</v>
      </c>
    </row>
    <row r="21" spans="1:4">
      <c r="A21" s="200" t="s">
        <v>306</v>
      </c>
      <c r="B21" s="202">
        <v>5251692</v>
      </c>
      <c r="C21" s="202">
        <v>5500281</v>
      </c>
      <c r="D21" s="202">
        <v>5793069</v>
      </c>
    </row>
    <row r="22" spans="1:4">
      <c r="A22" s="200" t="s">
        <v>307</v>
      </c>
      <c r="B22" s="204">
        <v>2.4</v>
      </c>
      <c r="C22" s="203">
        <v>2.1800000000000002</v>
      </c>
      <c r="D22" s="203">
        <v>1.98</v>
      </c>
    </row>
  </sheetData>
  <mergeCells count="2">
    <mergeCell ref="A1:A2"/>
    <mergeCell ref="B1:D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0497A"/>
  </sheetPr>
  <dimension ref="A1:F33"/>
  <sheetViews>
    <sheetView workbookViewId="0"/>
  </sheetViews>
  <sheetFormatPr defaultColWidth="9" defaultRowHeight="15"/>
  <cols>
    <col min="1" max="1" width="80" style="196" customWidth="1"/>
    <col min="2" max="3" width="9" style="196"/>
    <col min="4" max="5" width="14" style="196" customWidth="1"/>
    <col min="6" max="16384" width="9" style="196"/>
  </cols>
  <sheetData>
    <row r="1" spans="1:5">
      <c r="A1" s="205" t="s">
        <v>308</v>
      </c>
      <c r="D1" s="198" t="s">
        <v>300</v>
      </c>
      <c r="E1" s="198" t="s">
        <v>299</v>
      </c>
    </row>
    <row r="2" spans="1:5">
      <c r="A2" s="199" t="s">
        <v>241</v>
      </c>
    </row>
    <row r="3" spans="1:5">
      <c r="A3" s="200" t="s">
        <v>242</v>
      </c>
      <c r="D3" s="201">
        <v>20484</v>
      </c>
      <c r="E3" s="201">
        <v>20289</v>
      </c>
    </row>
    <row r="4" spans="1:5">
      <c r="A4" s="200" t="s">
        <v>243</v>
      </c>
      <c r="D4" s="202">
        <v>46671</v>
      </c>
      <c r="E4" s="202">
        <v>53892</v>
      </c>
    </row>
    <row r="5" spans="1:5">
      <c r="A5" s="200" t="s">
        <v>309</v>
      </c>
      <c r="D5" s="202">
        <v>15754</v>
      </c>
      <c r="E5" s="202">
        <v>17874</v>
      </c>
    </row>
    <row r="6" spans="1:5">
      <c r="A6" s="200" t="s">
        <v>244</v>
      </c>
      <c r="D6" s="202">
        <v>2132</v>
      </c>
      <c r="E6" s="202">
        <v>4855</v>
      </c>
    </row>
    <row r="7" spans="1:5">
      <c r="A7" s="200" t="s">
        <v>245</v>
      </c>
      <c r="D7" s="202">
        <v>13545</v>
      </c>
      <c r="E7" s="202">
        <v>17799</v>
      </c>
    </row>
    <row r="8" spans="1:5">
      <c r="A8" s="200" t="s">
        <v>246</v>
      </c>
      <c r="D8" s="202">
        <v>8283</v>
      </c>
      <c r="E8" s="202">
        <v>13936</v>
      </c>
    </row>
    <row r="9" spans="1:5">
      <c r="A9" s="200" t="s">
        <v>247</v>
      </c>
      <c r="D9" s="202">
        <v>106869</v>
      </c>
      <c r="E9" s="202">
        <v>128645</v>
      </c>
    </row>
    <row r="10" spans="1:5">
      <c r="A10" s="200" t="s">
        <v>248</v>
      </c>
      <c r="D10" s="202">
        <v>170430</v>
      </c>
      <c r="E10" s="202">
        <v>194714</v>
      </c>
    </row>
    <row r="11" spans="1:5">
      <c r="A11" s="200" t="s">
        <v>249</v>
      </c>
      <c r="D11" s="202">
        <v>27010</v>
      </c>
      <c r="E11" s="202">
        <v>33783</v>
      </c>
    </row>
    <row r="12" spans="1:5">
      <c r="A12" s="200" t="s">
        <v>43</v>
      </c>
      <c r="D12" s="202">
        <v>5414</v>
      </c>
      <c r="E12" s="202">
        <v>5717</v>
      </c>
    </row>
    <row r="13" spans="1:5">
      <c r="A13" s="200" t="s">
        <v>250</v>
      </c>
      <c r="D13" s="202">
        <v>3206</v>
      </c>
      <c r="E13" s="202">
        <v>2298</v>
      </c>
    </row>
    <row r="14" spans="1:5">
      <c r="A14" s="200" t="s">
        <v>310</v>
      </c>
      <c r="D14" s="202">
        <v>8757</v>
      </c>
      <c r="E14" s="202">
        <v>10162</v>
      </c>
    </row>
    <row r="15" spans="1:5">
      <c r="A15" s="200" t="s">
        <v>251</v>
      </c>
      <c r="D15" s="202">
        <v>321686</v>
      </c>
      <c r="E15" s="202">
        <v>375319</v>
      </c>
    </row>
    <row r="16" spans="1:5">
      <c r="A16" s="199" t="s">
        <v>252</v>
      </c>
    </row>
    <row r="17" spans="1:6">
      <c r="A17" s="200" t="s">
        <v>253</v>
      </c>
      <c r="D17" s="202">
        <v>37294</v>
      </c>
      <c r="E17" s="202">
        <v>49049</v>
      </c>
      <c r="F17" s="28"/>
    </row>
    <row r="18" spans="1:6">
      <c r="A18" s="200" t="s">
        <v>254</v>
      </c>
      <c r="D18" s="202">
        <v>22027</v>
      </c>
      <c r="E18" s="202">
        <v>25744</v>
      </c>
      <c r="F18" s="28"/>
    </row>
    <row r="19" spans="1:6">
      <c r="A19" s="200" t="s">
        <v>255</v>
      </c>
      <c r="D19" s="202">
        <v>8080</v>
      </c>
      <c r="E19" s="202">
        <v>7548</v>
      </c>
      <c r="F19" s="28"/>
    </row>
    <row r="20" spans="1:6">
      <c r="A20" s="200" t="s">
        <v>256</v>
      </c>
      <c r="D20" s="202">
        <v>8105</v>
      </c>
      <c r="E20" s="202">
        <v>11977</v>
      </c>
    </row>
    <row r="21" spans="1:6">
      <c r="A21" s="200" t="s">
        <v>257</v>
      </c>
      <c r="D21" s="202">
        <v>3500</v>
      </c>
      <c r="E21" s="202">
        <v>6496</v>
      </c>
      <c r="F21" s="28"/>
    </row>
    <row r="22" spans="1:6">
      <c r="A22" s="200" t="s">
        <v>258</v>
      </c>
      <c r="D22" s="202">
        <v>79006</v>
      </c>
      <c r="E22" s="202">
        <v>100814</v>
      </c>
    </row>
    <row r="23" spans="1:6">
      <c r="A23" s="200" t="s">
        <v>259</v>
      </c>
      <c r="D23" s="202">
        <v>2930</v>
      </c>
      <c r="E23" s="202">
        <v>2836</v>
      </c>
    </row>
    <row r="24" spans="1:6">
      <c r="A24" s="200" t="s">
        <v>260</v>
      </c>
      <c r="D24" s="202">
        <v>75427</v>
      </c>
      <c r="E24" s="202">
        <v>97207</v>
      </c>
    </row>
    <row r="25" spans="1:6">
      <c r="A25" s="200" t="s">
        <v>261</v>
      </c>
      <c r="D25" s="202">
        <v>36074</v>
      </c>
      <c r="E25" s="202">
        <v>40415</v>
      </c>
    </row>
    <row r="26" spans="1:6">
      <c r="A26" s="200" t="s">
        <v>262</v>
      </c>
      <c r="D26" s="202">
        <v>193437</v>
      </c>
      <c r="E26" s="202">
        <v>241272</v>
      </c>
    </row>
    <row r="27" spans="1:6">
      <c r="A27" s="200" t="s">
        <v>311</v>
      </c>
      <c r="D27" s="200" t="s">
        <v>2</v>
      </c>
      <c r="E27" s="200" t="s">
        <v>2</v>
      </c>
    </row>
    <row r="28" spans="1:6">
      <c r="A28" s="199" t="s">
        <v>312</v>
      </c>
    </row>
    <row r="29" spans="1:6" ht="30">
      <c r="A29" s="200" t="s">
        <v>313</v>
      </c>
      <c r="D29" s="202">
        <v>31251</v>
      </c>
      <c r="E29" s="202">
        <v>35867</v>
      </c>
    </row>
    <row r="30" spans="1:6">
      <c r="A30" s="200" t="s">
        <v>263</v>
      </c>
      <c r="D30" s="202">
        <v>96364</v>
      </c>
      <c r="E30" s="202">
        <v>98330</v>
      </c>
    </row>
    <row r="31" spans="1:6">
      <c r="A31" s="200" t="s">
        <v>314</v>
      </c>
      <c r="D31" s="202">
        <v>634</v>
      </c>
      <c r="E31" s="202">
        <v>-150</v>
      </c>
    </row>
    <row r="32" spans="1:6">
      <c r="A32" s="200" t="s">
        <v>315</v>
      </c>
      <c r="D32" s="202">
        <v>128249</v>
      </c>
      <c r="E32" s="202">
        <v>134047</v>
      </c>
    </row>
    <row r="33" spans="1:5">
      <c r="A33" s="200" t="s">
        <v>316</v>
      </c>
      <c r="D33" s="201">
        <v>321686</v>
      </c>
      <c r="E33" s="201">
        <v>375319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0497A"/>
  </sheetPr>
  <dimension ref="A1:G45"/>
  <sheetViews>
    <sheetView workbookViewId="0">
      <selection sqref="A1:A2"/>
    </sheetView>
  </sheetViews>
  <sheetFormatPr defaultColWidth="9" defaultRowHeight="15"/>
  <cols>
    <col min="1" max="1" width="79" style="196" customWidth="1"/>
    <col min="2" max="2" width="16" style="196" customWidth="1"/>
    <col min="3" max="4" width="14" style="196" customWidth="1"/>
    <col min="5" max="16384" width="9" style="196"/>
  </cols>
  <sheetData>
    <row r="1" spans="1:4">
      <c r="A1" s="218" t="s">
        <v>317</v>
      </c>
      <c r="B1" s="219" t="s">
        <v>298</v>
      </c>
      <c r="C1" s="207"/>
      <c r="D1" s="207"/>
    </row>
    <row r="2" spans="1:4">
      <c r="A2" s="207"/>
      <c r="B2" s="198" t="s">
        <v>299</v>
      </c>
      <c r="C2" s="198" t="s">
        <v>300</v>
      </c>
      <c r="D2" s="198" t="s">
        <v>301</v>
      </c>
    </row>
    <row r="3" spans="1:4">
      <c r="A3" s="199" t="s">
        <v>318</v>
      </c>
    </row>
    <row r="4" spans="1:4">
      <c r="A4" s="200" t="s">
        <v>264</v>
      </c>
      <c r="B4" s="201">
        <v>20484</v>
      </c>
      <c r="C4" s="201">
        <v>21120</v>
      </c>
      <c r="D4" s="201">
        <v>13844</v>
      </c>
    </row>
    <row r="5" spans="1:4">
      <c r="A5" s="199" t="s">
        <v>265</v>
      </c>
    </row>
    <row r="6" spans="1:4">
      <c r="A6" s="200" t="s">
        <v>238</v>
      </c>
      <c r="B6" s="202">
        <v>48351</v>
      </c>
      <c r="C6" s="202">
        <v>45687</v>
      </c>
      <c r="D6" s="202">
        <v>53394</v>
      </c>
    </row>
    <row r="7" spans="1:4">
      <c r="A7" s="199" t="s">
        <v>266</v>
      </c>
    </row>
    <row r="8" spans="1:4">
      <c r="A8" s="200" t="s">
        <v>267</v>
      </c>
      <c r="B8" s="202">
        <v>10157</v>
      </c>
      <c r="C8" s="202">
        <v>10505</v>
      </c>
      <c r="D8" s="202">
        <v>11257</v>
      </c>
    </row>
    <row r="9" spans="1:4">
      <c r="A9" s="200" t="s">
        <v>268</v>
      </c>
      <c r="B9" s="202">
        <v>4840</v>
      </c>
      <c r="C9" s="202">
        <v>4210</v>
      </c>
      <c r="D9" s="202">
        <v>3586</v>
      </c>
    </row>
    <row r="10" spans="1:4">
      <c r="A10" s="200" t="s">
        <v>269</v>
      </c>
      <c r="B10" s="202">
        <v>5966</v>
      </c>
      <c r="C10" s="202">
        <v>4938</v>
      </c>
      <c r="D10" s="202">
        <v>1382</v>
      </c>
    </row>
    <row r="11" spans="1:4">
      <c r="A11" s="200" t="s">
        <v>12</v>
      </c>
      <c r="B11" s="202">
        <v>-166</v>
      </c>
      <c r="C11" s="202">
        <v>486</v>
      </c>
      <c r="D11" s="202">
        <v>385</v>
      </c>
    </row>
    <row r="12" spans="1:4">
      <c r="A12" s="199" t="s">
        <v>270</v>
      </c>
    </row>
    <row r="13" spans="1:4">
      <c r="A13" s="200" t="s">
        <v>271</v>
      </c>
      <c r="B13" s="202">
        <v>-2093</v>
      </c>
      <c r="C13" s="202">
        <v>527</v>
      </c>
      <c r="D13" s="202">
        <v>417</v>
      </c>
    </row>
    <row r="14" spans="1:4">
      <c r="A14" s="200" t="s">
        <v>244</v>
      </c>
      <c r="B14" s="202">
        <v>-2723</v>
      </c>
      <c r="C14" s="202">
        <v>217</v>
      </c>
      <c r="D14" s="202">
        <v>-238</v>
      </c>
    </row>
    <row r="15" spans="1:4">
      <c r="A15" s="200" t="s">
        <v>245</v>
      </c>
      <c r="B15" s="202">
        <v>-4254</v>
      </c>
      <c r="C15" s="202">
        <v>-51</v>
      </c>
      <c r="D15" s="202">
        <v>-3735</v>
      </c>
    </row>
    <row r="16" spans="1:4">
      <c r="A16" s="200" t="s">
        <v>272</v>
      </c>
      <c r="B16" s="202">
        <v>-5318</v>
      </c>
      <c r="C16" s="202">
        <v>1055</v>
      </c>
      <c r="D16" s="202">
        <v>-283</v>
      </c>
    </row>
    <row r="17" spans="1:7">
      <c r="A17" s="200" t="s">
        <v>253</v>
      </c>
      <c r="B17" s="202">
        <v>9618</v>
      </c>
      <c r="C17" s="202">
        <v>1837</v>
      </c>
      <c r="D17" s="202">
        <v>5001</v>
      </c>
    </row>
    <row r="18" spans="1:7">
      <c r="A18" s="200" t="s">
        <v>255</v>
      </c>
      <c r="B18" s="202">
        <v>-626</v>
      </c>
      <c r="C18" s="202">
        <v>-1554</v>
      </c>
      <c r="D18" s="202">
        <v>1042</v>
      </c>
    </row>
    <row r="19" spans="1:7">
      <c r="A19" s="200" t="s">
        <v>273</v>
      </c>
      <c r="B19" s="202">
        <v>-154</v>
      </c>
      <c r="C19" s="202">
        <v>-2033</v>
      </c>
      <c r="D19" s="202">
        <v>9058</v>
      </c>
    </row>
    <row r="20" spans="1:7">
      <c r="A20" s="200" t="s">
        <v>274</v>
      </c>
      <c r="B20" s="202">
        <v>63598</v>
      </c>
      <c r="C20" s="202">
        <v>65824</v>
      </c>
      <c r="D20" s="202">
        <v>81266</v>
      </c>
    </row>
    <row r="21" spans="1:7">
      <c r="A21" s="199" t="s">
        <v>275</v>
      </c>
    </row>
    <row r="22" spans="1:7">
      <c r="A22" s="200" t="s">
        <v>276</v>
      </c>
      <c r="B22" s="202">
        <v>-159486</v>
      </c>
      <c r="C22" s="202">
        <v>-142428</v>
      </c>
      <c r="D22" s="202">
        <v>-166402</v>
      </c>
    </row>
    <row r="23" spans="1:7">
      <c r="A23" s="200" t="s">
        <v>277</v>
      </c>
      <c r="B23" s="202">
        <v>31775</v>
      </c>
      <c r="C23" s="202">
        <v>21258</v>
      </c>
      <c r="D23" s="202">
        <v>14538</v>
      </c>
    </row>
    <row r="24" spans="1:7">
      <c r="A24" s="200" t="s">
        <v>278</v>
      </c>
      <c r="B24" s="202">
        <v>94564</v>
      </c>
      <c r="C24" s="202">
        <v>90536</v>
      </c>
      <c r="D24" s="202">
        <v>107447</v>
      </c>
    </row>
    <row r="25" spans="1:7">
      <c r="A25" s="200" t="s">
        <v>279</v>
      </c>
      <c r="B25" s="202">
        <v>-329</v>
      </c>
      <c r="C25" s="202">
        <v>-297</v>
      </c>
      <c r="D25" s="202">
        <v>-343</v>
      </c>
    </row>
    <row r="26" spans="1:7">
      <c r="A26" s="200" t="s">
        <v>280</v>
      </c>
      <c r="B26" s="202">
        <v>-12451</v>
      </c>
      <c r="C26" s="202">
        <v>-12734</v>
      </c>
      <c r="D26" s="202">
        <v>-11247</v>
      </c>
      <c r="E26" s="28"/>
      <c r="F26" s="28"/>
      <c r="G26" s="28"/>
    </row>
    <row r="27" spans="1:7">
      <c r="A27" s="200" t="s">
        <v>281</v>
      </c>
      <c r="B27" s="202">
        <v>-344</v>
      </c>
      <c r="C27" s="202">
        <v>-814</v>
      </c>
      <c r="D27" s="202">
        <v>-241</v>
      </c>
    </row>
    <row r="28" spans="1:7">
      <c r="A28" s="200" t="s">
        <v>319</v>
      </c>
      <c r="B28" s="202">
        <v>-395</v>
      </c>
      <c r="C28" s="202">
        <v>-1388</v>
      </c>
      <c r="D28" s="202">
        <v>0</v>
      </c>
    </row>
    <row r="29" spans="1:7">
      <c r="A29" s="200" t="s">
        <v>12</v>
      </c>
      <c r="B29" s="202">
        <v>220</v>
      </c>
      <c r="C29" s="202">
        <v>-110</v>
      </c>
      <c r="D29" s="202">
        <v>-26</v>
      </c>
    </row>
    <row r="30" spans="1:7">
      <c r="A30" s="200" t="s">
        <v>282</v>
      </c>
      <c r="B30" s="202">
        <v>-46446</v>
      </c>
      <c r="C30" s="202">
        <v>-45977</v>
      </c>
      <c r="D30" s="202">
        <v>-56274</v>
      </c>
    </row>
    <row r="31" spans="1:7">
      <c r="A31" s="199" t="s">
        <v>283</v>
      </c>
    </row>
    <row r="32" spans="1:7">
      <c r="A32" s="200" t="s">
        <v>284</v>
      </c>
      <c r="B32" s="202">
        <v>555</v>
      </c>
      <c r="C32" s="202">
        <v>495</v>
      </c>
      <c r="D32" s="202">
        <v>543</v>
      </c>
    </row>
    <row r="33" spans="1:4">
      <c r="A33" s="200" t="s">
        <v>285</v>
      </c>
      <c r="B33" s="202">
        <v>627</v>
      </c>
      <c r="C33" s="202">
        <v>407</v>
      </c>
      <c r="D33" s="202">
        <v>749</v>
      </c>
    </row>
    <row r="34" spans="1:4">
      <c r="A34" s="200" t="s">
        <v>320</v>
      </c>
      <c r="B34" s="202">
        <v>-1874</v>
      </c>
      <c r="C34" s="202">
        <v>-1570</v>
      </c>
      <c r="D34" s="202">
        <v>-1499</v>
      </c>
    </row>
    <row r="35" spans="1:4">
      <c r="A35" s="200" t="s">
        <v>321</v>
      </c>
      <c r="B35" s="202">
        <v>12769</v>
      </c>
      <c r="C35" s="202">
        <v>12150</v>
      </c>
      <c r="D35" s="202">
        <v>11561</v>
      </c>
    </row>
    <row r="36" spans="1:4">
      <c r="A36" s="200" t="s">
        <v>322</v>
      </c>
      <c r="B36" s="202">
        <v>-32900</v>
      </c>
      <c r="C36" s="202">
        <v>-29722</v>
      </c>
      <c r="D36" s="202">
        <v>-35253</v>
      </c>
    </row>
    <row r="37" spans="1:4">
      <c r="A37" s="200" t="s">
        <v>286</v>
      </c>
      <c r="B37" s="202">
        <v>28662</v>
      </c>
      <c r="C37" s="202">
        <v>24954</v>
      </c>
      <c r="D37" s="202">
        <v>27114</v>
      </c>
    </row>
    <row r="38" spans="1:4">
      <c r="A38" s="200" t="s">
        <v>323</v>
      </c>
      <c r="B38" s="202">
        <v>-3500</v>
      </c>
      <c r="C38" s="202">
        <v>-2500</v>
      </c>
      <c r="D38" s="202">
        <v>0</v>
      </c>
    </row>
    <row r="39" spans="1:4">
      <c r="A39" s="200" t="s">
        <v>287</v>
      </c>
      <c r="B39" s="202">
        <v>3852</v>
      </c>
      <c r="C39" s="202">
        <v>-397</v>
      </c>
      <c r="D39" s="202">
        <v>2191</v>
      </c>
    </row>
    <row r="40" spans="1:4">
      <c r="A40" s="200" t="s">
        <v>288</v>
      </c>
      <c r="B40" s="202">
        <v>-17347</v>
      </c>
      <c r="C40" s="202">
        <v>-20483</v>
      </c>
      <c r="D40" s="202">
        <v>-17716</v>
      </c>
    </row>
    <row r="41" spans="1:4">
      <c r="A41" s="200" t="s">
        <v>324</v>
      </c>
      <c r="B41" s="202">
        <v>-195</v>
      </c>
      <c r="C41" s="202">
        <v>-636</v>
      </c>
      <c r="D41" s="202">
        <v>7276</v>
      </c>
    </row>
    <row r="42" spans="1:4">
      <c r="A42" s="200" t="s">
        <v>289</v>
      </c>
      <c r="B42" s="202">
        <v>20289</v>
      </c>
      <c r="C42" s="202">
        <v>20484</v>
      </c>
      <c r="D42" s="202">
        <v>21120</v>
      </c>
    </row>
    <row r="43" spans="1:4">
      <c r="A43" s="199" t="s">
        <v>290</v>
      </c>
    </row>
    <row r="44" spans="1:4">
      <c r="A44" s="200" t="s">
        <v>291</v>
      </c>
      <c r="B44" s="202">
        <v>11591</v>
      </c>
      <c r="C44" s="202">
        <v>10444</v>
      </c>
      <c r="D44" s="202">
        <v>13252</v>
      </c>
    </row>
    <row r="45" spans="1:4">
      <c r="A45" s="200" t="s">
        <v>292</v>
      </c>
      <c r="B45" s="201">
        <v>2092</v>
      </c>
      <c r="C45" s="201">
        <v>1316</v>
      </c>
      <c r="D45" s="201">
        <v>514</v>
      </c>
    </row>
  </sheetData>
  <mergeCells count="2">
    <mergeCell ref="A1:A2"/>
    <mergeCell ref="B1:D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
  <sheetViews>
    <sheetView workbookViewId="0"/>
  </sheetViews>
  <sheetFormatPr defaultColWidth="9.140625" defaultRowHeight="15"/>
  <cols>
    <col min="1" max="1" width="9.140625" style="87" customWidth="1"/>
    <col min="2" max="16384" width="9.140625" style="87"/>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O60"/>
  <sheetViews>
    <sheetView showGridLines="0" view="pageBreakPreview" zoomScale="75" zoomScaleSheetLayoutView="75" workbookViewId="0">
      <selection activeCell="E1" sqref="E1"/>
    </sheetView>
  </sheetViews>
  <sheetFormatPr defaultRowHeight="15"/>
  <cols>
    <col min="1" max="1" width="1.42578125" style="3" bestFit="1" customWidth="1"/>
    <col min="3" max="3" width="64.42578125" style="3" customWidth="1"/>
    <col min="4" max="4" width="10.42578125" style="3" customWidth="1"/>
    <col min="5" max="15" width="12.140625" style="3" bestFit="1" customWidth="1"/>
  </cols>
  <sheetData>
    <row r="3" spans="1:15">
      <c r="C3" s="23" t="s">
        <v>29</v>
      </c>
      <c r="D3" s="23"/>
      <c r="E3" s="23"/>
      <c r="F3" s="23"/>
      <c r="G3" s="23"/>
      <c r="H3" s="23"/>
      <c r="I3" s="23"/>
      <c r="J3" s="23"/>
      <c r="K3" s="23"/>
      <c r="L3" s="23"/>
      <c r="M3" s="23"/>
      <c r="N3" s="23"/>
      <c r="O3" s="23"/>
    </row>
    <row r="4" spans="1:15" ht="3" customHeight="1">
      <c r="A4" s="3" t="s">
        <v>2</v>
      </c>
    </row>
    <row r="5" spans="1:15">
      <c r="D5" s="29">
        <f>IS!F5</f>
        <v>2016</v>
      </c>
      <c r="E5" s="29">
        <f>IS!G5</f>
        <v>2017</v>
      </c>
      <c r="F5" s="96">
        <f>IS!H5</f>
        <v>2018</v>
      </c>
      <c r="G5" s="96">
        <f>IS!I5</f>
        <v>2019</v>
      </c>
      <c r="H5" s="96">
        <f>IS!J5</f>
        <v>2020</v>
      </c>
      <c r="I5" s="96">
        <f>IS!K5</f>
        <v>2021</v>
      </c>
      <c r="J5" s="96">
        <f>IS!L5</f>
        <v>2022</v>
      </c>
      <c r="K5" s="96">
        <f>IS!M5</f>
        <v>2023</v>
      </c>
      <c r="L5" s="96">
        <f>IS!N5</f>
        <v>2024</v>
      </c>
      <c r="M5" s="96">
        <f>IS!O5</f>
        <v>2025</v>
      </c>
      <c r="N5" s="96">
        <f>IS!P5</f>
        <v>2026</v>
      </c>
      <c r="O5" s="96">
        <f>IS!Q5</f>
        <v>2027</v>
      </c>
    </row>
    <row r="6" spans="1:15" ht="3" customHeight="1">
      <c r="A6" s="3" t="s">
        <v>2</v>
      </c>
    </row>
    <row r="7" spans="1:15">
      <c r="C7" s="3" t="s">
        <v>30</v>
      </c>
    </row>
    <row r="8" spans="1:15">
      <c r="C8" s="26" t="s">
        <v>31</v>
      </c>
      <c r="D8" s="112">
        <v>190914</v>
      </c>
      <c r="E8" s="112">
        <v>215003</v>
      </c>
      <c r="F8" s="39" t="s">
        <v>32</v>
      </c>
      <c r="G8" s="39" t="s">
        <v>32</v>
      </c>
      <c r="H8" s="39" t="s">
        <v>32</v>
      </c>
      <c r="I8" s="39" t="s">
        <v>32</v>
      </c>
      <c r="J8" s="39" t="s">
        <v>32</v>
      </c>
      <c r="K8" s="39" t="s">
        <v>32</v>
      </c>
      <c r="L8" s="39" t="s">
        <v>32</v>
      </c>
      <c r="M8" s="39" t="s">
        <v>32</v>
      </c>
      <c r="N8" s="39" t="s">
        <v>32</v>
      </c>
      <c r="O8" s="39" t="s">
        <v>32</v>
      </c>
    </row>
    <row r="9" spans="1:15" s="37" customFormat="1">
      <c r="C9" s="26" t="s">
        <v>33</v>
      </c>
      <c r="D9" s="118">
        <v>46671</v>
      </c>
      <c r="E9" s="118">
        <v>53892</v>
      </c>
      <c r="F9" s="126" t="s">
        <v>32</v>
      </c>
      <c r="G9" s="126" t="s">
        <v>32</v>
      </c>
      <c r="H9" s="126" t="s">
        <v>32</v>
      </c>
      <c r="I9" s="126" t="s">
        <v>32</v>
      </c>
      <c r="J9" s="126" t="s">
        <v>32</v>
      </c>
      <c r="K9" s="126" t="s">
        <v>32</v>
      </c>
      <c r="L9" s="126" t="s">
        <v>32</v>
      </c>
      <c r="M9" s="126" t="s">
        <v>32</v>
      </c>
      <c r="N9" s="126" t="s">
        <v>32</v>
      </c>
      <c r="O9" s="126" t="s">
        <v>32</v>
      </c>
    </row>
    <row r="10" spans="1:15">
      <c r="C10" s="3" t="s">
        <v>34</v>
      </c>
      <c r="D10" s="121">
        <f>SUM(D8:D9)</f>
        <v>237585</v>
      </c>
      <c r="E10" s="121">
        <f>SUM(E8:E9)</f>
        <v>268895</v>
      </c>
      <c r="F10" s="127">
        <f>CF!F103</f>
        <v>203567.49494293705</v>
      </c>
      <c r="G10" s="127">
        <f>CF!G103</f>
        <v>257094.47209340252</v>
      </c>
      <c r="H10" s="127">
        <f>CF!H103</f>
        <v>313996.06725990673</v>
      </c>
      <c r="I10" s="127">
        <f>CF!I103</f>
        <v>374485.03384943097</v>
      </c>
      <c r="J10" s="127">
        <f>CF!J103</f>
        <v>438787.53834621963</v>
      </c>
      <c r="K10" s="127">
        <f>CF!K103</f>
        <v>507144.00594167708</v>
      </c>
      <c r="L10" s="127">
        <f>CF!L103</f>
        <v>579810.01947715576</v>
      </c>
      <c r="M10" s="127">
        <f>CF!M103</f>
        <v>657057.27506075578</v>
      </c>
      <c r="N10" s="127">
        <f>CF!N103</f>
        <v>739174.59793115943</v>
      </c>
      <c r="O10" s="127">
        <f>CF!O103</f>
        <v>826469.02236678603</v>
      </c>
    </row>
    <row r="11" spans="1:15">
      <c r="D11" s="87"/>
      <c r="E11" s="87"/>
      <c r="F11" s="87"/>
      <c r="G11" s="87"/>
      <c r="H11" s="87"/>
      <c r="I11" s="87"/>
      <c r="J11" s="87"/>
      <c r="K11" s="87"/>
      <c r="L11" s="87"/>
      <c r="M11" s="87"/>
      <c r="N11" s="87"/>
      <c r="O11" s="87"/>
    </row>
    <row r="12" spans="1:15">
      <c r="C12" s="3" t="s">
        <v>35</v>
      </c>
      <c r="D12" s="87"/>
      <c r="E12" s="87"/>
      <c r="F12" s="87"/>
      <c r="G12" s="87"/>
      <c r="H12" s="87"/>
      <c r="I12" s="87"/>
      <c r="J12" s="87"/>
      <c r="K12" s="87"/>
      <c r="L12" s="87"/>
      <c r="M12" s="87"/>
      <c r="N12" s="87"/>
      <c r="O12" s="87"/>
    </row>
    <row r="13" spans="1:15" s="87" customFormat="1">
      <c r="C13" s="83" t="s">
        <v>36</v>
      </c>
      <c r="D13" s="112">
        <v>0</v>
      </c>
      <c r="E13" s="112">
        <v>0</v>
      </c>
      <c r="F13" s="124">
        <f>WC!F11</f>
        <v>0</v>
      </c>
      <c r="G13" s="124">
        <f>WC!G11</f>
        <v>0</v>
      </c>
      <c r="H13" s="124">
        <f>WC!H11</f>
        <v>0</v>
      </c>
      <c r="I13" s="124">
        <f>WC!I11</f>
        <v>0</v>
      </c>
      <c r="J13" s="124">
        <f>WC!J11</f>
        <v>0</v>
      </c>
      <c r="K13" s="124">
        <f>WC!K11</f>
        <v>0</v>
      </c>
      <c r="L13" s="124">
        <f>WC!L11</f>
        <v>0</v>
      </c>
      <c r="M13" s="124">
        <f>WC!M11</f>
        <v>0</v>
      </c>
      <c r="N13" s="124">
        <f>WC!N11</f>
        <v>0</v>
      </c>
      <c r="O13" s="124">
        <f>WC!O11</f>
        <v>0</v>
      </c>
    </row>
    <row r="14" spans="1:15">
      <c r="C14" s="26" t="s">
        <v>37</v>
      </c>
      <c r="D14" s="118">
        <v>15754</v>
      </c>
      <c r="E14" s="118">
        <v>17874</v>
      </c>
      <c r="F14" s="124">
        <f>WC!F12</f>
        <v>19000.869582960408</v>
      </c>
      <c r="G14" s="124">
        <f>WC!G12</f>
        <v>20198.782863862038</v>
      </c>
      <c r="H14" s="124">
        <f>WC!H12</f>
        <v>21472.218805571116</v>
      </c>
      <c r="I14" s="124">
        <f>WC!I12</f>
        <v>22825.938747982917</v>
      </c>
      <c r="J14" s="124">
        <f>WC!J12</f>
        <v>24265.004210532952</v>
      </c>
      <c r="K14" s="124">
        <f>WC!K12</f>
        <v>25794.795817070706</v>
      </c>
      <c r="L14" s="124">
        <f>WC!L12</f>
        <v>27421.033413855497</v>
      </c>
      <c r="M14" s="124">
        <f>WC!M12</f>
        <v>29149.797455895045</v>
      </c>
      <c r="N14" s="124">
        <f>WC!N12</f>
        <v>30987.551741589617</v>
      </c>
      <c r="O14" s="124">
        <f>WC!O12</f>
        <v>32941.167580686022</v>
      </c>
    </row>
    <row r="15" spans="1:15">
      <c r="C15" s="26" t="s">
        <v>38</v>
      </c>
      <c r="D15" s="118">
        <v>2132</v>
      </c>
      <c r="E15" s="118">
        <v>4855</v>
      </c>
      <c r="F15" s="124">
        <f>WC!F13</f>
        <v>5161.0843585807761</v>
      </c>
      <c r="G15" s="124">
        <f>WC!G13</f>
        <v>5486.4658612537878</v>
      </c>
      <c r="H15" s="124">
        <f>WC!H13</f>
        <v>5832.3610999802931</v>
      </c>
      <c r="I15" s="124">
        <f>WC!I13</f>
        <v>6200.0633669831641</v>
      </c>
      <c r="J15" s="124">
        <f>WC!J13</f>
        <v>6590.9474903288283</v>
      </c>
      <c r="K15" s="124">
        <f>WC!K13</f>
        <v>7006.4749743693792</v>
      </c>
      <c r="L15" s="124">
        <f>WC!L13</f>
        <v>7448.199464264766</v>
      </c>
      <c r="M15" s="124">
        <f>WC!M13</f>
        <v>7917.7725550168079</v>
      </c>
      <c r="N15" s="124">
        <f>WC!N13</f>
        <v>8416.9499667347882</v>
      </c>
      <c r="O15" s="124">
        <f>WC!O13</f>
        <v>8947.5981092218099</v>
      </c>
    </row>
    <row r="16" spans="1:15">
      <c r="C16" s="26" t="s">
        <v>39</v>
      </c>
      <c r="D16" s="91">
        <f>D17-SUM(D13:D15)</f>
        <v>21828</v>
      </c>
      <c r="E16" s="91">
        <f>E17-SUM(E13:E15)</f>
        <v>31735</v>
      </c>
      <c r="F16" s="124">
        <f>WC!F14</f>
        <v>33735.738850578971</v>
      </c>
      <c r="G16" s="124">
        <f>WC!G14</f>
        <v>35862.614646115129</v>
      </c>
      <c r="H16" s="124">
        <f>WC!H14</f>
        <v>38123.579713259445</v>
      </c>
      <c r="I16" s="124">
        <f>WC!I14</f>
        <v>40527.087734543908</v>
      </c>
      <c r="J16" s="124">
        <f>WC!J14</f>
        <v>43082.125356454249</v>
      </c>
      <c r="K16" s="124">
        <f>WC!K14</f>
        <v>45798.245790239387</v>
      </c>
      <c r="L16" s="124">
        <f>WC!L14</f>
        <v>48685.604531090088</v>
      </c>
      <c r="M16" s="124">
        <f>WC!M14</f>
        <v>51754.997329239632</v>
      </c>
      <c r="N16" s="124">
        <f>WC!N14</f>
        <v>55017.900554959524</v>
      </c>
      <c r="O16" s="124">
        <f>WC!O14</f>
        <v>58486.514108373667</v>
      </c>
    </row>
    <row r="17" spans="3:15">
      <c r="C17" s="3" t="s">
        <v>40</v>
      </c>
      <c r="D17" s="120">
        <v>39714</v>
      </c>
      <c r="E17" s="120">
        <v>54464</v>
      </c>
      <c r="F17" s="121">
        <f>SUM(F13:F16)</f>
        <v>57897.692792120157</v>
      </c>
      <c r="G17" s="121">
        <f t="shared" ref="G17:O17" si="0">SUM(G13:G16)</f>
        <v>61547.863371230953</v>
      </c>
      <c r="H17" s="121">
        <f t="shared" si="0"/>
        <v>65428.159618810852</v>
      </c>
      <c r="I17" s="121">
        <f t="shared" si="0"/>
        <v>69553.089849509997</v>
      </c>
      <c r="J17" s="121">
        <f t="shared" si="0"/>
        <v>73938.077057316026</v>
      </c>
      <c r="K17" s="121">
        <f t="shared" si="0"/>
        <v>78599.516581679462</v>
      </c>
      <c r="L17" s="121">
        <f t="shared" si="0"/>
        <v>83554.837409210362</v>
      </c>
      <c r="M17" s="121">
        <f t="shared" si="0"/>
        <v>88822.567340151494</v>
      </c>
      <c r="N17" s="121">
        <f t="shared" si="0"/>
        <v>94422.402263283933</v>
      </c>
      <c r="O17" s="121">
        <f t="shared" si="0"/>
        <v>100375.2797982815</v>
      </c>
    </row>
    <row r="18" spans="3:15">
      <c r="D18" s="87"/>
      <c r="E18" s="87"/>
      <c r="F18" s="87"/>
      <c r="G18" s="87"/>
      <c r="H18" s="87"/>
      <c r="I18" s="87"/>
      <c r="J18" s="87"/>
      <c r="K18" s="87"/>
      <c r="L18" s="87"/>
      <c r="M18" s="87"/>
      <c r="N18" s="87"/>
      <c r="O18" s="87"/>
    </row>
    <row r="19" spans="3:15">
      <c r="C19" s="3" t="s">
        <v>41</v>
      </c>
      <c r="D19" s="87"/>
      <c r="E19" s="87"/>
      <c r="F19" s="87"/>
      <c r="G19" s="87"/>
      <c r="H19" s="87"/>
      <c r="I19" s="87"/>
      <c r="J19" s="87"/>
      <c r="K19" s="87"/>
      <c r="L19" s="87"/>
      <c r="M19" s="87"/>
      <c r="N19" s="87"/>
      <c r="O19" s="87"/>
    </row>
    <row r="20" spans="3:15">
      <c r="C20" s="83" t="s">
        <v>42</v>
      </c>
      <c r="D20" s="112">
        <v>27010</v>
      </c>
      <c r="E20" s="112">
        <v>33783</v>
      </c>
      <c r="F20" s="123">
        <f>CF!F108</f>
        <v>36587.313190100125</v>
      </c>
      <c r="G20" s="123">
        <f>CF!G108</f>
        <v>39568.424815638224</v>
      </c>
      <c r="H20" s="123">
        <f>CF!H108</f>
        <v>42737.481166152742</v>
      </c>
      <c r="I20" s="123">
        <f>CF!I108</f>
        <v>46106.33125103463</v>
      </c>
      <c r="J20" s="123">
        <f>CF!J108</f>
        <v>49687.571102628339</v>
      </c>
      <c r="K20" s="123">
        <f>CF!K108</f>
        <v>53494.590872429864</v>
      </c>
      <c r="L20" s="123">
        <f>CF!L108</f>
        <v>57541.624896473208</v>
      </c>
      <c r="M20" s="123">
        <f>CF!M108</f>
        <v>61843.804917098198</v>
      </c>
      <c r="N20" s="123">
        <f>CF!N108</f>
        <v>66417.21666009436</v>
      </c>
      <c r="O20" s="123">
        <f>CF!O108</f>
        <v>71278.959978761122</v>
      </c>
    </row>
    <row r="21" spans="3:15">
      <c r="C21" s="83" t="s">
        <v>43</v>
      </c>
      <c r="D21" s="118">
        <v>5414</v>
      </c>
      <c r="E21" s="118">
        <v>5717</v>
      </c>
      <c r="F21" s="124">
        <f>CF!F109</f>
        <v>5717</v>
      </c>
      <c r="G21" s="124">
        <f>CF!G109</f>
        <v>5717</v>
      </c>
      <c r="H21" s="124">
        <f>CF!H109</f>
        <v>5717</v>
      </c>
      <c r="I21" s="124">
        <f>CF!I109</f>
        <v>5717</v>
      </c>
      <c r="J21" s="124">
        <f>CF!J109</f>
        <v>5717</v>
      </c>
      <c r="K21" s="124">
        <f>CF!K109</f>
        <v>5717</v>
      </c>
      <c r="L21" s="124">
        <f>CF!L109</f>
        <v>5717</v>
      </c>
      <c r="M21" s="124">
        <f>CF!M109</f>
        <v>5717</v>
      </c>
      <c r="N21" s="124">
        <f>CF!N109</f>
        <v>5717</v>
      </c>
      <c r="O21" s="124">
        <f>CF!O109</f>
        <v>5717</v>
      </c>
    </row>
    <row r="22" spans="3:15">
      <c r="C22" s="26" t="s">
        <v>44</v>
      </c>
      <c r="D22" s="118">
        <v>0</v>
      </c>
      <c r="E22" s="118">
        <v>0</v>
      </c>
      <c r="F22" s="124">
        <f>CF!F110</f>
        <v>0</v>
      </c>
      <c r="G22" s="124">
        <f>CF!G110</f>
        <v>0</v>
      </c>
      <c r="H22" s="124">
        <f>CF!H110</f>
        <v>0</v>
      </c>
      <c r="I22" s="124">
        <f>CF!I110</f>
        <v>0</v>
      </c>
      <c r="J22" s="124">
        <f>CF!J110</f>
        <v>0</v>
      </c>
      <c r="K22" s="124">
        <f>CF!K110</f>
        <v>0</v>
      </c>
      <c r="L22" s="124">
        <f>CF!L110</f>
        <v>0</v>
      </c>
      <c r="M22" s="124">
        <f>CF!M110</f>
        <v>0</v>
      </c>
      <c r="N22" s="124">
        <f>CF!N110</f>
        <v>0</v>
      </c>
      <c r="O22" s="124">
        <f>CF!O110</f>
        <v>0</v>
      </c>
    </row>
    <row r="23" spans="3:15">
      <c r="C23" s="26" t="s">
        <v>45</v>
      </c>
      <c r="D23" s="118">
        <v>3206</v>
      </c>
      <c r="E23" s="118">
        <v>2298</v>
      </c>
      <c r="F23" s="124">
        <f>CF!F111</f>
        <v>2298</v>
      </c>
      <c r="G23" s="124">
        <f>CF!G111</f>
        <v>2298</v>
      </c>
      <c r="H23" s="124">
        <f>CF!H111</f>
        <v>2298</v>
      </c>
      <c r="I23" s="124">
        <f>CF!I111</f>
        <v>2298</v>
      </c>
      <c r="J23" s="124">
        <f>CF!J111</f>
        <v>2298</v>
      </c>
      <c r="K23" s="124">
        <f>CF!K111</f>
        <v>2298</v>
      </c>
      <c r="L23" s="124">
        <f>CF!L111</f>
        <v>2298</v>
      </c>
      <c r="M23" s="124">
        <f>CF!M111</f>
        <v>2298</v>
      </c>
      <c r="N23" s="124">
        <f>CF!N111</f>
        <v>2298</v>
      </c>
      <c r="O23" s="124">
        <f>CF!O111</f>
        <v>2298</v>
      </c>
    </row>
    <row r="24" spans="3:15" s="37" customFormat="1">
      <c r="C24" s="26" t="s">
        <v>46</v>
      </c>
      <c r="D24" s="91">
        <f>(D27-D10-D17-SUM(D20:D23))</f>
        <v>8757</v>
      </c>
      <c r="E24" s="91">
        <f>(E27-E10-E17-SUM(E20:E23))</f>
        <v>10162</v>
      </c>
      <c r="F24" s="124">
        <f>CF!F112</f>
        <v>10162</v>
      </c>
      <c r="G24" s="124">
        <f>CF!G112</f>
        <v>10162</v>
      </c>
      <c r="H24" s="124">
        <f>CF!H112</f>
        <v>10162</v>
      </c>
      <c r="I24" s="124">
        <f>CF!I112</f>
        <v>10162</v>
      </c>
      <c r="J24" s="124">
        <f>CF!J112</f>
        <v>10162</v>
      </c>
      <c r="K24" s="124">
        <f>CF!K112</f>
        <v>10162</v>
      </c>
      <c r="L24" s="124">
        <f>CF!L112</f>
        <v>10162</v>
      </c>
      <c r="M24" s="124">
        <f>CF!M112</f>
        <v>10162</v>
      </c>
      <c r="N24" s="124">
        <f>CF!N112</f>
        <v>10162</v>
      </c>
      <c r="O24" s="124">
        <f>CF!O112</f>
        <v>10162</v>
      </c>
    </row>
    <row r="25" spans="3:15">
      <c r="C25" s="3" t="s">
        <v>47</v>
      </c>
      <c r="D25" s="121">
        <f t="shared" ref="D25:O25" si="1">SUM(D20:D24)</f>
        <v>44387</v>
      </c>
      <c r="E25" s="121">
        <f t="shared" si="1"/>
        <v>51960</v>
      </c>
      <c r="F25" s="121">
        <f t="shared" si="1"/>
        <v>54764.313190100125</v>
      </c>
      <c r="G25" s="121">
        <f t="shared" si="1"/>
        <v>57745.424815638224</v>
      </c>
      <c r="H25" s="121">
        <f t="shared" si="1"/>
        <v>60914.481166152742</v>
      </c>
      <c r="I25" s="121">
        <f t="shared" si="1"/>
        <v>64283.33125103463</v>
      </c>
      <c r="J25" s="121">
        <f t="shared" si="1"/>
        <v>67864.571102628339</v>
      </c>
      <c r="K25" s="121">
        <f t="shared" si="1"/>
        <v>71671.590872429864</v>
      </c>
      <c r="L25" s="121">
        <f t="shared" si="1"/>
        <v>75718.624896473208</v>
      </c>
      <c r="M25" s="121">
        <f t="shared" si="1"/>
        <v>80020.804917098198</v>
      </c>
      <c r="N25" s="121">
        <f t="shared" si="1"/>
        <v>84594.21666009436</v>
      </c>
      <c r="O25" s="121">
        <f t="shared" si="1"/>
        <v>89455.959978761122</v>
      </c>
    </row>
    <row r="26" spans="3:15">
      <c r="D26" s="87"/>
      <c r="E26" s="87"/>
      <c r="F26" s="87"/>
      <c r="G26" s="87"/>
      <c r="H26" s="87"/>
      <c r="I26" s="87"/>
      <c r="J26" s="87"/>
      <c r="K26" s="87"/>
      <c r="L26" s="87"/>
      <c r="M26" s="87"/>
      <c r="N26" s="87"/>
      <c r="O26" s="87"/>
    </row>
    <row r="27" spans="3:15" ht="15.75" thickBot="1">
      <c r="C27" s="3" t="s">
        <v>48</v>
      </c>
      <c r="D27" s="128">
        <v>321686</v>
      </c>
      <c r="E27" s="128">
        <v>375319</v>
      </c>
      <c r="F27" s="129">
        <f t="shared" ref="F27:O27" si="2">F25+F10+F17</f>
        <v>316229.50092515734</v>
      </c>
      <c r="G27" s="129">
        <f t="shared" si="2"/>
        <v>376387.7602802717</v>
      </c>
      <c r="H27" s="129">
        <f t="shared" si="2"/>
        <v>440338.70804487035</v>
      </c>
      <c r="I27" s="129">
        <f t="shared" si="2"/>
        <v>508321.4549499756</v>
      </c>
      <c r="J27" s="129">
        <f t="shared" si="2"/>
        <v>580590.18650616403</v>
      </c>
      <c r="K27" s="129">
        <f t="shared" si="2"/>
        <v>657415.11339578638</v>
      </c>
      <c r="L27" s="129">
        <f t="shared" si="2"/>
        <v>739083.4817828394</v>
      </c>
      <c r="M27" s="129">
        <f t="shared" si="2"/>
        <v>825900.64731800545</v>
      </c>
      <c r="N27" s="129">
        <f t="shared" si="2"/>
        <v>918191.21685453772</v>
      </c>
      <c r="O27" s="129">
        <f t="shared" si="2"/>
        <v>1016300.2621438287</v>
      </c>
    </row>
    <row r="28" spans="3:15" ht="15.75" thickTop="1">
      <c r="D28" s="87"/>
      <c r="E28" s="87"/>
      <c r="F28" s="87"/>
      <c r="G28" s="87"/>
      <c r="H28" s="87"/>
      <c r="I28" s="87"/>
      <c r="J28" s="87"/>
      <c r="K28" s="87"/>
      <c r="L28" s="87"/>
      <c r="M28" s="87"/>
      <c r="N28" s="87"/>
      <c r="O28" s="87"/>
    </row>
    <row r="29" spans="3:15">
      <c r="C29" s="3" t="s">
        <v>49</v>
      </c>
      <c r="D29" s="87"/>
      <c r="E29" s="87"/>
      <c r="F29" s="87"/>
      <c r="G29" s="87"/>
      <c r="H29" s="87"/>
      <c r="I29" s="87"/>
      <c r="J29" s="87"/>
      <c r="K29" s="87"/>
      <c r="L29" s="87"/>
      <c r="M29" s="87"/>
      <c r="N29" s="87"/>
      <c r="O29" s="87"/>
    </row>
    <row r="30" spans="3:15">
      <c r="C30" s="26" t="s">
        <v>50</v>
      </c>
      <c r="D30" s="112">
        <v>37294</v>
      </c>
      <c r="E30" s="112">
        <v>49049</v>
      </c>
      <c r="F30" s="123">
        <f>WC!F18</f>
        <v>52141.30313162275</v>
      </c>
      <c r="G30" s="123">
        <f>WC!G18</f>
        <v>55428.561076959224</v>
      </c>
      <c r="H30" s="123">
        <f>WC!H18</f>
        <v>58923.064797720581</v>
      </c>
      <c r="I30" s="123">
        <f>WC!I18</f>
        <v>62637.880141535985</v>
      </c>
      <c r="J30" s="123">
        <f>WC!J18</f>
        <v>66586.896694776253</v>
      </c>
      <c r="K30" s="123">
        <f>WC!K18</f>
        <v>70784.879715312796</v>
      </c>
      <c r="L30" s="123">
        <f>WC!L18</f>
        <v>75247.525339386732</v>
      </c>
      <c r="M30" s="123">
        <f>WC!M18</f>
        <v>79991.519269005032</v>
      </c>
      <c r="N30" s="123">
        <f>WC!N18</f>
        <v>85034.599159294463</v>
      </c>
      <c r="O30" s="123">
        <f>WC!O18</f>
        <v>90395.620939077358</v>
      </c>
    </row>
    <row r="31" spans="3:15">
      <c r="C31" s="26" t="s">
        <v>51</v>
      </c>
      <c r="D31" s="91">
        <f>D32-D30</f>
        <v>30107</v>
      </c>
      <c r="E31" s="91">
        <f>E32-E30</f>
        <v>33292</v>
      </c>
      <c r="F31" s="124">
        <f>WC!F19</f>
        <v>35390.9001989436</v>
      </c>
      <c r="G31" s="124">
        <f>WC!G19</f>
        <v>37622.125942916806</v>
      </c>
      <c r="H31" s="124">
        <f>WC!H19</f>
        <v>39994.01971998845</v>
      </c>
      <c r="I31" s="124">
        <f>WC!I19</f>
        <v>42515.449971905968</v>
      </c>
      <c r="J31" s="124">
        <f>WC!J19</f>
        <v>45195.844252940755</v>
      </c>
      <c r="K31" s="124">
        <f>WC!K19</f>
        <v>48045.224479239005</v>
      </c>
      <c r="L31" s="124">
        <f>WC!L19</f>
        <v>51074.244400474279</v>
      </c>
      <c r="M31" s="124">
        <f>WC!M19</f>
        <v>54294.229433907225</v>
      </c>
      <c r="N31" s="124">
        <f>WC!N19</f>
        <v>57717.219009790839</v>
      </c>
      <c r="O31" s="124">
        <f>WC!O19</f>
        <v>61356.011586449538</v>
      </c>
    </row>
    <row r="32" spans="3:15">
      <c r="C32" s="3" t="s">
        <v>52</v>
      </c>
      <c r="D32" s="120">
        <v>67401</v>
      </c>
      <c r="E32" s="120">
        <v>82341</v>
      </c>
      <c r="F32" s="121">
        <f t="shared" ref="F32:O32" si="3">SUM(F30:F31)</f>
        <v>87532.20333056635</v>
      </c>
      <c r="G32" s="121">
        <f t="shared" si="3"/>
        <v>93050.68701987603</v>
      </c>
      <c r="H32" s="121">
        <f t="shared" si="3"/>
        <v>98917.084517709038</v>
      </c>
      <c r="I32" s="121">
        <f t="shared" si="3"/>
        <v>105153.33011344195</v>
      </c>
      <c r="J32" s="121">
        <f t="shared" si="3"/>
        <v>111782.74094771701</v>
      </c>
      <c r="K32" s="121">
        <f t="shared" si="3"/>
        <v>118830.10419455179</v>
      </c>
      <c r="L32" s="121">
        <f t="shared" si="3"/>
        <v>126321.76973986102</v>
      </c>
      <c r="M32" s="121">
        <f t="shared" si="3"/>
        <v>134285.74870291224</v>
      </c>
      <c r="N32" s="121">
        <f t="shared" si="3"/>
        <v>142751.81816908531</v>
      </c>
      <c r="O32" s="121">
        <f t="shared" si="3"/>
        <v>151751.63252552689</v>
      </c>
    </row>
    <row r="33" spans="3:15">
      <c r="D33" s="87"/>
      <c r="E33" s="87"/>
      <c r="F33" s="87"/>
      <c r="G33" s="87"/>
      <c r="H33" s="87"/>
      <c r="I33" s="87"/>
      <c r="J33" s="87"/>
      <c r="K33" s="87"/>
      <c r="L33" s="87"/>
      <c r="M33" s="87"/>
      <c r="N33" s="87"/>
      <c r="O33" s="87"/>
    </row>
    <row r="34" spans="3:15">
      <c r="C34" s="37" t="s">
        <v>53</v>
      </c>
      <c r="D34" s="87"/>
      <c r="E34" s="87"/>
      <c r="F34" s="87"/>
      <c r="G34" s="87"/>
      <c r="H34" s="87"/>
      <c r="I34" s="87"/>
      <c r="J34" s="87"/>
      <c r="K34" s="87"/>
      <c r="L34" s="87"/>
      <c r="M34" s="87"/>
      <c r="N34" s="87"/>
      <c r="O34" s="87"/>
    </row>
    <row r="35" spans="3:15">
      <c r="C35" s="88" t="s">
        <v>54</v>
      </c>
      <c r="D35" s="112">
        <v>87032</v>
      </c>
      <c r="E35" s="112">
        <v>115680</v>
      </c>
      <c r="F35" s="123">
        <f>CF!F123</f>
        <v>0</v>
      </c>
      <c r="G35" s="123">
        <f>CF!G123</f>
        <v>0</v>
      </c>
      <c r="H35" s="123">
        <f>CF!H123</f>
        <v>0</v>
      </c>
      <c r="I35" s="123">
        <f>CF!I123</f>
        <v>0</v>
      </c>
      <c r="J35" s="123">
        <f>CF!J123</f>
        <v>0</v>
      </c>
      <c r="K35" s="123">
        <f>CF!K123</f>
        <v>0</v>
      </c>
      <c r="L35" s="123">
        <f>CF!L123</f>
        <v>0</v>
      </c>
      <c r="M35" s="123">
        <f>CF!M123</f>
        <v>0</v>
      </c>
      <c r="N35" s="123">
        <f>CF!N123</f>
        <v>0</v>
      </c>
      <c r="O35" s="123">
        <f>CF!O123</f>
        <v>0</v>
      </c>
    </row>
    <row r="36" spans="3:15">
      <c r="C36" s="88" t="s">
        <v>55</v>
      </c>
      <c r="D36" s="119">
        <v>0</v>
      </c>
      <c r="E36" s="119">
        <v>0</v>
      </c>
      <c r="F36" s="124">
        <f>CF!F124</f>
        <v>0</v>
      </c>
      <c r="G36" s="124">
        <f>CF!G124</f>
        <v>0</v>
      </c>
      <c r="H36" s="124">
        <f>CF!H124</f>
        <v>0</v>
      </c>
      <c r="I36" s="124">
        <f>CF!I124</f>
        <v>0</v>
      </c>
      <c r="J36" s="124">
        <f>CF!J124</f>
        <v>0</v>
      </c>
      <c r="K36" s="124">
        <f>CF!K124</f>
        <v>0</v>
      </c>
      <c r="L36" s="124">
        <f>CF!L124</f>
        <v>0</v>
      </c>
      <c r="M36" s="124">
        <f>CF!M124</f>
        <v>0</v>
      </c>
      <c r="N36" s="124">
        <f>CF!N124</f>
        <v>0</v>
      </c>
      <c r="O36" s="124">
        <f>CF!O124</f>
        <v>0</v>
      </c>
    </row>
    <row r="37" spans="3:15">
      <c r="C37" s="88" t="s">
        <v>56</v>
      </c>
      <c r="D37" s="119">
        <v>0</v>
      </c>
      <c r="E37" s="119">
        <v>0</v>
      </c>
      <c r="F37" s="124">
        <f>CF!F125</f>
        <v>0</v>
      </c>
      <c r="G37" s="124">
        <f>CF!G125</f>
        <v>0</v>
      </c>
      <c r="H37" s="124">
        <f>CF!H125</f>
        <v>0</v>
      </c>
      <c r="I37" s="124">
        <f>CF!I125</f>
        <v>0</v>
      </c>
      <c r="J37" s="124">
        <f>CF!J125</f>
        <v>0</v>
      </c>
      <c r="K37" s="124">
        <f>CF!K125</f>
        <v>0</v>
      </c>
      <c r="L37" s="124">
        <f>CF!L125</f>
        <v>0</v>
      </c>
      <c r="M37" s="124">
        <f>CF!M125</f>
        <v>0</v>
      </c>
      <c r="N37" s="124">
        <f>CF!N125</f>
        <v>0</v>
      </c>
      <c r="O37" s="124">
        <f>CF!O125</f>
        <v>0</v>
      </c>
    </row>
    <row r="38" spans="3:15">
      <c r="C38" s="88" t="s">
        <v>57</v>
      </c>
      <c r="D38" s="119">
        <v>0</v>
      </c>
      <c r="E38" s="119">
        <v>0</v>
      </c>
      <c r="F38" s="124">
        <f>CF!F126</f>
        <v>0</v>
      </c>
      <c r="G38" s="124">
        <f>CF!G126</f>
        <v>0</v>
      </c>
      <c r="H38" s="124">
        <f>CF!H126</f>
        <v>0</v>
      </c>
      <c r="I38" s="124">
        <f>CF!I126</f>
        <v>0</v>
      </c>
      <c r="J38" s="124">
        <f>CF!J126</f>
        <v>0</v>
      </c>
      <c r="K38" s="124">
        <f>CF!K126</f>
        <v>0</v>
      </c>
      <c r="L38" s="124">
        <f>CF!L126</f>
        <v>0</v>
      </c>
      <c r="M38" s="124">
        <f>CF!M126</f>
        <v>0</v>
      </c>
      <c r="N38" s="124">
        <f>CF!N126</f>
        <v>0</v>
      </c>
      <c r="O38" s="124">
        <f>CF!O126</f>
        <v>0</v>
      </c>
    </row>
    <row r="39" spans="3:15">
      <c r="C39" s="88" t="s">
        <v>58</v>
      </c>
      <c r="D39" s="119">
        <v>0</v>
      </c>
      <c r="E39" s="119">
        <v>0</v>
      </c>
      <c r="F39" s="124">
        <f>CF!F127</f>
        <v>0</v>
      </c>
      <c r="G39" s="124">
        <f>CF!G127</f>
        <v>0</v>
      </c>
      <c r="H39" s="124">
        <f>CF!H127</f>
        <v>0</v>
      </c>
      <c r="I39" s="124">
        <f>CF!I127</f>
        <v>0</v>
      </c>
      <c r="J39" s="124">
        <f>CF!J127</f>
        <v>0</v>
      </c>
      <c r="K39" s="124">
        <f>CF!K127</f>
        <v>0</v>
      </c>
      <c r="L39" s="124">
        <f>CF!L127</f>
        <v>0</v>
      </c>
      <c r="M39" s="124">
        <f>CF!M127</f>
        <v>0</v>
      </c>
      <c r="N39" s="124">
        <f>CF!N127</f>
        <v>0</v>
      </c>
      <c r="O39" s="124">
        <f>CF!O127</f>
        <v>0</v>
      </c>
    </row>
    <row r="40" spans="3:15">
      <c r="C40" s="88" t="s">
        <v>59</v>
      </c>
      <c r="D40" s="119">
        <v>0</v>
      </c>
      <c r="E40" s="119">
        <v>0</v>
      </c>
      <c r="F40" s="124">
        <f>CF!F128</f>
        <v>0</v>
      </c>
      <c r="G40" s="124">
        <f>CF!G128</f>
        <v>0</v>
      </c>
      <c r="H40" s="124">
        <f>CF!H128</f>
        <v>0</v>
      </c>
      <c r="I40" s="124">
        <f>CF!I128</f>
        <v>0</v>
      </c>
      <c r="J40" s="124">
        <f>CF!J128</f>
        <v>0</v>
      </c>
      <c r="K40" s="124">
        <f>CF!K128</f>
        <v>0</v>
      </c>
      <c r="L40" s="124">
        <f>CF!L128</f>
        <v>0</v>
      </c>
      <c r="M40" s="124">
        <f>CF!M128</f>
        <v>0</v>
      </c>
      <c r="N40" s="124">
        <f>CF!N128</f>
        <v>0</v>
      </c>
      <c r="O40" s="124">
        <f>CF!O128</f>
        <v>0</v>
      </c>
    </row>
    <row r="41" spans="3:15">
      <c r="C41" s="88" t="s">
        <v>60</v>
      </c>
      <c r="D41" s="119">
        <v>0</v>
      </c>
      <c r="E41" s="119">
        <v>0</v>
      </c>
      <c r="F41" s="124">
        <f>CF!F129</f>
        <v>0</v>
      </c>
      <c r="G41" s="124">
        <f>CF!G129</f>
        <v>0</v>
      </c>
      <c r="H41" s="124">
        <f>CF!H129</f>
        <v>0</v>
      </c>
      <c r="I41" s="124">
        <f>CF!I129</f>
        <v>0</v>
      </c>
      <c r="J41" s="124">
        <f>CF!J129</f>
        <v>0</v>
      </c>
      <c r="K41" s="124">
        <f>CF!K129</f>
        <v>0</v>
      </c>
      <c r="L41" s="124">
        <f>CF!L129</f>
        <v>0</v>
      </c>
      <c r="M41" s="124">
        <f>CF!M129</f>
        <v>0</v>
      </c>
      <c r="N41" s="124">
        <f>CF!N129</f>
        <v>0</v>
      </c>
      <c r="O41" s="124">
        <f>CF!O129</f>
        <v>0</v>
      </c>
    </row>
    <row r="42" spans="3:15">
      <c r="C42" s="88" t="s">
        <v>61</v>
      </c>
      <c r="D42" s="119">
        <v>0</v>
      </c>
      <c r="E42" s="119">
        <v>0</v>
      </c>
      <c r="F42" s="124">
        <f>CF!F130</f>
        <v>0</v>
      </c>
      <c r="G42" s="124">
        <f>CF!G130</f>
        <v>0</v>
      </c>
      <c r="H42" s="124">
        <f>CF!H130</f>
        <v>0</v>
      </c>
      <c r="I42" s="124">
        <f>CF!I130</f>
        <v>0</v>
      </c>
      <c r="J42" s="124">
        <f>CF!J130</f>
        <v>0</v>
      </c>
      <c r="K42" s="124">
        <f>CF!K130</f>
        <v>0</v>
      </c>
      <c r="L42" s="124">
        <f>CF!L130</f>
        <v>0</v>
      </c>
      <c r="M42" s="124">
        <f>CF!M130</f>
        <v>0</v>
      </c>
      <c r="N42" s="124">
        <f>CF!N130</f>
        <v>0</v>
      </c>
      <c r="O42" s="124">
        <f>CF!O130</f>
        <v>0</v>
      </c>
    </row>
    <row r="43" spans="3:15">
      <c r="C43" s="88" t="s">
        <v>62</v>
      </c>
      <c r="D43" s="119">
        <v>0</v>
      </c>
      <c r="E43" s="119">
        <v>0</v>
      </c>
      <c r="F43" s="124">
        <f>CF!F131</f>
        <v>0</v>
      </c>
      <c r="G43" s="124">
        <f>CF!G131</f>
        <v>0</v>
      </c>
      <c r="H43" s="124">
        <f>CF!H131</f>
        <v>0</v>
      </c>
      <c r="I43" s="124">
        <f>CF!I131</f>
        <v>0</v>
      </c>
      <c r="J43" s="124">
        <f>CF!J131</f>
        <v>0</v>
      </c>
      <c r="K43" s="124">
        <f>CF!K131</f>
        <v>0</v>
      </c>
      <c r="L43" s="124">
        <f>CF!L131</f>
        <v>0</v>
      </c>
      <c r="M43" s="124">
        <f>CF!M131</f>
        <v>0</v>
      </c>
      <c r="N43" s="124">
        <f>CF!N131</f>
        <v>0</v>
      </c>
      <c r="O43" s="124">
        <f>CF!O131</f>
        <v>0</v>
      </c>
    </row>
    <row r="44" spans="3:15">
      <c r="C44" s="3" t="s">
        <v>63</v>
      </c>
      <c r="D44" s="121">
        <f t="shared" ref="D44:O44" si="4">SUM(D35:D43)</f>
        <v>87032</v>
      </c>
      <c r="E44" s="121">
        <f t="shared" si="4"/>
        <v>115680</v>
      </c>
      <c r="F44" s="121">
        <f t="shared" si="4"/>
        <v>0</v>
      </c>
      <c r="G44" s="121">
        <f t="shared" si="4"/>
        <v>0</v>
      </c>
      <c r="H44" s="121">
        <f t="shared" si="4"/>
        <v>0</v>
      </c>
      <c r="I44" s="121">
        <f t="shared" si="4"/>
        <v>0</v>
      </c>
      <c r="J44" s="121">
        <f t="shared" si="4"/>
        <v>0</v>
      </c>
      <c r="K44" s="121">
        <f t="shared" si="4"/>
        <v>0</v>
      </c>
      <c r="L44" s="121">
        <f t="shared" si="4"/>
        <v>0</v>
      </c>
      <c r="M44" s="121">
        <f t="shared" si="4"/>
        <v>0</v>
      </c>
      <c r="N44" s="121">
        <f t="shared" si="4"/>
        <v>0</v>
      </c>
      <c r="O44" s="121">
        <f t="shared" si="4"/>
        <v>0</v>
      </c>
    </row>
    <row r="45" spans="3:15">
      <c r="D45" s="87"/>
      <c r="E45" s="87"/>
      <c r="F45" s="87"/>
      <c r="G45" s="87"/>
      <c r="H45" s="87"/>
      <c r="I45" s="87"/>
      <c r="J45" s="87"/>
      <c r="K45" s="87"/>
      <c r="L45" s="87"/>
      <c r="M45" s="87"/>
      <c r="N45" s="87"/>
      <c r="O45" s="87"/>
    </row>
    <row r="46" spans="3:15">
      <c r="C46" s="3" t="s">
        <v>64</v>
      </c>
      <c r="D46" s="87"/>
      <c r="E46" s="87"/>
      <c r="F46" s="87"/>
      <c r="G46" s="87"/>
      <c r="H46" s="87"/>
      <c r="I46" s="87"/>
      <c r="J46" s="87"/>
      <c r="K46" s="87"/>
      <c r="L46" s="87"/>
      <c r="M46" s="87"/>
      <c r="N46" s="87"/>
      <c r="O46" s="87"/>
    </row>
    <row r="47" spans="3:15">
      <c r="C47" s="26" t="s">
        <v>65</v>
      </c>
      <c r="D47" s="130">
        <f>D27-D30-D31-D44-D48-D49-D55</f>
        <v>36074</v>
      </c>
      <c r="E47" s="130">
        <f>E27-E30-E31-E44-E48-E49-E55</f>
        <v>40415</v>
      </c>
      <c r="F47" s="123">
        <f>CF!F118</f>
        <v>40415</v>
      </c>
      <c r="G47" s="123">
        <f>CF!G118</f>
        <v>40415</v>
      </c>
      <c r="H47" s="123">
        <f>CF!H118</f>
        <v>40415</v>
      </c>
      <c r="I47" s="123">
        <f>CF!I118</f>
        <v>40415</v>
      </c>
      <c r="J47" s="123">
        <f>CF!J118</f>
        <v>40415</v>
      </c>
      <c r="K47" s="123">
        <f>CF!K118</f>
        <v>40415</v>
      </c>
      <c r="L47" s="123">
        <f>CF!L118</f>
        <v>40415</v>
      </c>
      <c r="M47" s="123">
        <f>CF!M118</f>
        <v>40415</v>
      </c>
      <c r="N47" s="123">
        <f>CF!N118</f>
        <v>40415</v>
      </c>
      <c r="O47" s="123">
        <f>CF!O118</f>
        <v>40415</v>
      </c>
    </row>
    <row r="48" spans="3:15">
      <c r="C48" s="26" t="s">
        <v>66</v>
      </c>
      <c r="D48" s="118">
        <v>2930</v>
      </c>
      <c r="E48" s="118">
        <v>2836</v>
      </c>
      <c r="F48" s="124">
        <f>CF!F119</f>
        <v>2836</v>
      </c>
      <c r="G48" s="124">
        <f>CF!G119</f>
        <v>2836</v>
      </c>
      <c r="H48" s="124">
        <f>CF!H119</f>
        <v>2836</v>
      </c>
      <c r="I48" s="124">
        <f>CF!I119</f>
        <v>2836</v>
      </c>
      <c r="J48" s="124">
        <f>CF!J119</f>
        <v>2836</v>
      </c>
      <c r="K48" s="124">
        <f>CF!K119</f>
        <v>2836</v>
      </c>
      <c r="L48" s="124">
        <f>CF!L119</f>
        <v>2836</v>
      </c>
      <c r="M48" s="124">
        <f>CF!M119</f>
        <v>2836</v>
      </c>
      <c r="N48" s="124">
        <f>CF!N119</f>
        <v>2836</v>
      </c>
      <c r="O48" s="124">
        <f>CF!O119</f>
        <v>2836</v>
      </c>
    </row>
    <row r="49" spans="3:15">
      <c r="C49" s="26" t="s">
        <v>67</v>
      </c>
      <c r="D49" s="118">
        <v>0</v>
      </c>
      <c r="E49" s="118">
        <v>0</v>
      </c>
      <c r="F49" s="124">
        <f>CF!F120</f>
        <v>0</v>
      </c>
      <c r="G49" s="124">
        <f>CF!G120</f>
        <v>0</v>
      </c>
      <c r="H49" s="124">
        <f>CF!H120</f>
        <v>0</v>
      </c>
      <c r="I49" s="124">
        <f>CF!I120</f>
        <v>0</v>
      </c>
      <c r="J49" s="124">
        <f>CF!J120</f>
        <v>0</v>
      </c>
      <c r="K49" s="124">
        <f>CF!K120</f>
        <v>0</v>
      </c>
      <c r="L49" s="124">
        <f>CF!L120</f>
        <v>0</v>
      </c>
      <c r="M49" s="124">
        <f>CF!M120</f>
        <v>0</v>
      </c>
      <c r="N49" s="124">
        <f>CF!N120</f>
        <v>0</v>
      </c>
      <c r="O49" s="124">
        <f>CF!O120</f>
        <v>0</v>
      </c>
    </row>
    <row r="50" spans="3:15">
      <c r="C50" s="3" t="s">
        <v>68</v>
      </c>
      <c r="D50" s="121">
        <f t="shared" ref="D50:O50" si="5">SUM(D47:D49)</f>
        <v>39004</v>
      </c>
      <c r="E50" s="121">
        <f t="shared" si="5"/>
        <v>43251</v>
      </c>
      <c r="F50" s="121">
        <f t="shared" si="5"/>
        <v>43251</v>
      </c>
      <c r="G50" s="121">
        <f t="shared" si="5"/>
        <v>43251</v>
      </c>
      <c r="H50" s="121">
        <f t="shared" si="5"/>
        <v>43251</v>
      </c>
      <c r="I50" s="121">
        <f t="shared" si="5"/>
        <v>43251</v>
      </c>
      <c r="J50" s="121">
        <f t="shared" si="5"/>
        <v>43251</v>
      </c>
      <c r="K50" s="121">
        <f t="shared" si="5"/>
        <v>43251</v>
      </c>
      <c r="L50" s="121">
        <f t="shared" si="5"/>
        <v>43251</v>
      </c>
      <c r="M50" s="121">
        <f t="shared" si="5"/>
        <v>43251</v>
      </c>
      <c r="N50" s="121">
        <f t="shared" si="5"/>
        <v>43251</v>
      </c>
      <c r="O50" s="121">
        <f t="shared" si="5"/>
        <v>43251</v>
      </c>
    </row>
    <row r="51" spans="3:15">
      <c r="D51" s="87"/>
      <c r="E51" s="87"/>
      <c r="F51" s="87"/>
      <c r="G51" s="87"/>
      <c r="H51" s="87"/>
      <c r="I51" s="87"/>
      <c r="J51" s="87"/>
      <c r="K51" s="87"/>
      <c r="L51" s="87"/>
      <c r="M51" s="87"/>
      <c r="N51" s="87"/>
      <c r="O51" s="87"/>
    </row>
    <row r="52" spans="3:15">
      <c r="C52" s="3" t="s">
        <v>69</v>
      </c>
      <c r="D52" s="131">
        <f>D32+D44+D50</f>
        <v>193437</v>
      </c>
      <c r="E52" s="131">
        <f>E32+E44+E50</f>
        <v>241272</v>
      </c>
      <c r="F52" s="131">
        <f t="shared" ref="F52:O52" si="6">F50+F32+F44</f>
        <v>130783.20333056635</v>
      </c>
      <c r="G52" s="131">
        <f t="shared" si="6"/>
        <v>136301.68701987603</v>
      </c>
      <c r="H52" s="131">
        <f t="shared" si="6"/>
        <v>142168.08451770904</v>
      </c>
      <c r="I52" s="131">
        <f t="shared" si="6"/>
        <v>148404.33011344195</v>
      </c>
      <c r="J52" s="131">
        <f t="shared" si="6"/>
        <v>155033.74094771701</v>
      </c>
      <c r="K52" s="131">
        <f t="shared" si="6"/>
        <v>162081.10419455179</v>
      </c>
      <c r="L52" s="131">
        <f t="shared" si="6"/>
        <v>169572.76973986102</v>
      </c>
      <c r="M52" s="131">
        <f t="shared" si="6"/>
        <v>177536.74870291224</v>
      </c>
      <c r="N52" s="131">
        <f t="shared" si="6"/>
        <v>186002.81816908531</v>
      </c>
      <c r="O52" s="131">
        <f t="shared" si="6"/>
        <v>195002.63252552689</v>
      </c>
    </row>
    <row r="53" spans="3:15">
      <c r="D53" s="87"/>
      <c r="E53" s="87"/>
      <c r="F53" s="87"/>
      <c r="G53" s="87"/>
      <c r="H53" s="87"/>
      <c r="I53" s="87"/>
      <c r="J53" s="87"/>
      <c r="K53" s="87"/>
      <c r="L53" s="87"/>
      <c r="M53" s="87"/>
      <c r="N53" s="87"/>
      <c r="O53" s="87"/>
    </row>
    <row r="54" spans="3:15">
      <c r="C54" s="3" t="s">
        <v>70</v>
      </c>
      <c r="D54" s="87"/>
      <c r="E54" s="87"/>
      <c r="F54" s="87"/>
      <c r="G54" s="87"/>
      <c r="H54" s="87"/>
      <c r="I54" s="87"/>
      <c r="J54" s="87"/>
      <c r="K54" s="87"/>
      <c r="L54" s="87"/>
      <c r="M54" s="87"/>
      <c r="N54" s="87"/>
      <c r="O54" s="87"/>
    </row>
    <row r="55" spans="3:15">
      <c r="C55" s="26" t="s">
        <v>71</v>
      </c>
      <c r="D55" s="112">
        <v>128249</v>
      </c>
      <c r="E55" s="112">
        <v>134047</v>
      </c>
      <c r="F55" s="39" t="s">
        <v>32</v>
      </c>
      <c r="G55" s="39" t="s">
        <v>32</v>
      </c>
      <c r="H55" s="39" t="s">
        <v>32</v>
      </c>
      <c r="I55" s="39" t="s">
        <v>32</v>
      </c>
      <c r="J55" s="39" t="s">
        <v>32</v>
      </c>
      <c r="K55" s="39" t="s">
        <v>32</v>
      </c>
      <c r="L55" s="39" t="s">
        <v>32</v>
      </c>
      <c r="M55" s="39" t="s">
        <v>32</v>
      </c>
      <c r="N55" s="39" t="s">
        <v>32</v>
      </c>
      <c r="O55" s="39" t="s">
        <v>32</v>
      </c>
    </row>
    <row r="56" spans="3:15">
      <c r="C56" s="3" t="s">
        <v>72</v>
      </c>
      <c r="D56" s="131">
        <f>SUM(D55:D55)</f>
        <v>128249</v>
      </c>
      <c r="E56" s="131">
        <f>SUM(E55:E55)</f>
        <v>134047</v>
      </c>
      <c r="F56" s="132">
        <f>CF!F134</f>
        <v>185446.29759459096</v>
      </c>
      <c r="G56" s="132">
        <f>CF!G134</f>
        <v>240086.07326039567</v>
      </c>
      <c r="H56" s="132">
        <f>CF!H134</f>
        <v>298170.62352716131</v>
      </c>
      <c r="I56" s="132">
        <f>CF!I134</f>
        <v>359917.12483653368</v>
      </c>
      <c r="J56" s="132">
        <f>CF!J134</f>
        <v>425556.44555844704</v>
      </c>
      <c r="K56" s="132">
        <f>CF!K134</f>
        <v>495334.00920123467</v>
      </c>
      <c r="L56" s="132">
        <f>CF!L134</f>
        <v>569510.71204297838</v>
      </c>
      <c r="M56" s="132">
        <f>CF!M134</f>
        <v>648363.89861509332</v>
      </c>
      <c r="N56" s="132">
        <f>CF!N134</f>
        <v>732188.39868545253</v>
      </c>
      <c r="O56" s="132">
        <f>CF!O134</f>
        <v>821297.62961830187</v>
      </c>
    </row>
    <row r="57" spans="3:15">
      <c r="D57" s="87"/>
      <c r="E57" s="87"/>
      <c r="F57" s="87"/>
      <c r="G57" s="87"/>
      <c r="H57" s="87"/>
      <c r="I57" s="87"/>
      <c r="J57" s="87"/>
      <c r="K57" s="87"/>
      <c r="L57" s="87"/>
      <c r="M57" s="87"/>
      <c r="N57" s="87"/>
      <c r="O57" s="87"/>
    </row>
    <row r="58" spans="3:15" ht="15.75" thickBot="1">
      <c r="C58" s="3" t="s">
        <v>73</v>
      </c>
      <c r="D58" s="129">
        <f>D56+D52</f>
        <v>321686</v>
      </c>
      <c r="E58" s="129">
        <f>E56+E52</f>
        <v>375319</v>
      </c>
      <c r="F58" s="129">
        <f t="shared" ref="F58:O58" si="7">F52+F56</f>
        <v>316229.50092515734</v>
      </c>
      <c r="G58" s="129">
        <f t="shared" si="7"/>
        <v>376387.7602802717</v>
      </c>
      <c r="H58" s="129">
        <f t="shared" si="7"/>
        <v>440338.70804487035</v>
      </c>
      <c r="I58" s="129">
        <f t="shared" si="7"/>
        <v>508321.4549499756</v>
      </c>
      <c r="J58" s="129">
        <f t="shared" si="7"/>
        <v>580590.18650616403</v>
      </c>
      <c r="K58" s="129">
        <f t="shared" si="7"/>
        <v>657415.11339578649</v>
      </c>
      <c r="L58" s="129">
        <f t="shared" si="7"/>
        <v>739083.4817828394</v>
      </c>
      <c r="M58" s="129">
        <f t="shared" si="7"/>
        <v>825900.64731800556</v>
      </c>
      <c r="N58" s="129">
        <f t="shared" si="7"/>
        <v>918191.21685453784</v>
      </c>
      <c r="O58" s="129">
        <f t="shared" si="7"/>
        <v>1016300.2621438288</v>
      </c>
    </row>
    <row r="59" spans="3:15" ht="15.75" thickTop="1">
      <c r="D59" s="87"/>
      <c r="E59" s="87"/>
      <c r="F59" s="87"/>
      <c r="G59" s="87"/>
      <c r="H59" s="87"/>
      <c r="I59" s="87"/>
      <c r="J59" s="87"/>
      <c r="K59" s="87"/>
      <c r="L59" s="87"/>
      <c r="M59" s="87"/>
      <c r="N59" s="87"/>
      <c r="O59" s="87"/>
    </row>
    <row r="60" spans="3:15">
      <c r="C60" s="30" t="s">
        <v>74</v>
      </c>
      <c r="D60" s="133" t="str">
        <f>IF(D27-D58&lt;2, "balances", "error")</f>
        <v>balances</v>
      </c>
      <c r="E60" s="133" t="str">
        <f t="shared" ref="E60:O60" si="8">IF(E27-E58&gt;2, "error", "balances")</f>
        <v>balances</v>
      </c>
      <c r="F60" s="133" t="str">
        <f t="shared" si="8"/>
        <v>balances</v>
      </c>
      <c r="G60" s="133" t="str">
        <f t="shared" si="8"/>
        <v>balances</v>
      </c>
      <c r="H60" s="133" t="str">
        <f t="shared" si="8"/>
        <v>balances</v>
      </c>
      <c r="I60" s="133" t="str">
        <f t="shared" si="8"/>
        <v>balances</v>
      </c>
      <c r="J60" s="133" t="str">
        <f t="shared" si="8"/>
        <v>balances</v>
      </c>
      <c r="K60" s="133" t="str">
        <f t="shared" si="8"/>
        <v>balances</v>
      </c>
      <c r="L60" s="133" t="str">
        <f t="shared" si="8"/>
        <v>balances</v>
      </c>
      <c r="M60" s="133" t="str">
        <f t="shared" si="8"/>
        <v>balances</v>
      </c>
      <c r="N60" s="133" t="str">
        <f t="shared" si="8"/>
        <v>balances</v>
      </c>
      <c r="O60" s="133" t="str">
        <f t="shared" si="8"/>
        <v>balances</v>
      </c>
    </row>
  </sheetData>
  <pageMargins left="0.7" right="0.7" top="0.75" bottom="0.75" header="0.3" footer="0.3"/>
  <pageSetup scale="4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R160"/>
  <sheetViews>
    <sheetView view="pageBreakPreview" zoomScale="75" zoomScaleNormal="100" zoomScaleSheetLayoutView="75" workbookViewId="0">
      <selection activeCell="F8" sqref="F8"/>
    </sheetView>
  </sheetViews>
  <sheetFormatPr defaultRowHeight="15"/>
  <cols>
    <col min="2" max="2" width="47.28515625" style="3" customWidth="1"/>
    <col min="3" max="18" width="12.28515625" style="3" customWidth="1"/>
  </cols>
  <sheetData>
    <row r="3" spans="2:15">
      <c r="B3" s="36" t="s">
        <v>75</v>
      </c>
      <c r="C3" s="23"/>
      <c r="D3" s="23"/>
      <c r="E3" s="23"/>
      <c r="F3" s="23"/>
      <c r="G3" s="23"/>
      <c r="H3" s="23"/>
      <c r="I3" s="23"/>
      <c r="J3" s="23"/>
      <c r="K3" s="23"/>
      <c r="L3" s="23"/>
      <c r="M3" s="23"/>
      <c r="N3" s="23"/>
      <c r="O3" s="23"/>
    </row>
    <row r="4" spans="2:15" ht="3" customHeight="1">
      <c r="B4" s="87"/>
      <c r="C4" s="87"/>
      <c r="D4" s="87"/>
      <c r="E4" s="87"/>
      <c r="F4" s="87"/>
      <c r="G4" s="87"/>
      <c r="H4" s="87"/>
      <c r="I4" s="87"/>
      <c r="J4" s="87"/>
      <c r="K4" s="87"/>
      <c r="L4" s="87"/>
      <c r="M4" s="87"/>
      <c r="N4" s="87"/>
      <c r="O4" s="87"/>
    </row>
    <row r="5" spans="2:15">
      <c r="B5" s="87"/>
      <c r="C5" s="87"/>
      <c r="D5" s="87"/>
      <c r="E5" s="87"/>
      <c r="F5" s="134">
        <f>IS!H5</f>
        <v>2018</v>
      </c>
      <c r="G5" s="134">
        <f>IS!I5</f>
        <v>2019</v>
      </c>
      <c r="H5" s="134">
        <f>IS!J5</f>
        <v>2020</v>
      </c>
      <c r="I5" s="134">
        <f>IS!K5</f>
        <v>2021</v>
      </c>
      <c r="J5" s="134">
        <f>IS!L5</f>
        <v>2022</v>
      </c>
      <c r="K5" s="134">
        <f>IS!M5</f>
        <v>2023</v>
      </c>
      <c r="L5" s="134">
        <f>IS!N5</f>
        <v>2024</v>
      </c>
      <c r="M5" s="134">
        <f>IS!O5</f>
        <v>2025</v>
      </c>
      <c r="N5" s="134">
        <f>IS!P5</f>
        <v>2026</v>
      </c>
      <c r="O5" s="134">
        <f>IS!Q5</f>
        <v>2027</v>
      </c>
    </row>
    <row r="6" spans="2:15" ht="3" customHeight="1">
      <c r="B6" s="87"/>
      <c r="C6" s="87"/>
      <c r="D6" s="87"/>
      <c r="E6" s="87"/>
      <c r="F6" s="87"/>
      <c r="G6" s="87"/>
      <c r="H6" s="87"/>
      <c r="I6" s="87"/>
      <c r="J6" s="87"/>
      <c r="K6" s="87"/>
      <c r="L6" s="87"/>
      <c r="M6" s="87"/>
      <c r="N6" s="87"/>
      <c r="O6" s="87"/>
    </row>
    <row r="7" spans="2:15">
      <c r="B7" s="87" t="s">
        <v>18</v>
      </c>
      <c r="C7" s="87"/>
      <c r="D7" s="87"/>
      <c r="E7" s="87"/>
      <c r="F7" s="123">
        <f>IS!H28</f>
        <v>76008.793557751618</v>
      </c>
      <c r="G7" s="123">
        <f>IS!I28</f>
        <v>80800.781780742953</v>
      </c>
      <c r="H7" s="123">
        <f>IS!J28</f>
        <v>85894.881773365822</v>
      </c>
      <c r="I7" s="123">
        <f>IS!K28</f>
        <v>91310.140227119089</v>
      </c>
      <c r="J7" s="123">
        <f>IS!L28</f>
        <v>97066.804635633729</v>
      </c>
      <c r="K7" s="123">
        <f>IS!M28</f>
        <v>103186.39899946138</v>
      </c>
      <c r="L7" s="123">
        <f>IS!N28</f>
        <v>109691.80430368592</v>
      </c>
      <c r="M7" s="123">
        <f>IS!O28</f>
        <v>116607.34406925994</v>
      </c>
      <c r="N7" s="123">
        <f>IS!P28</f>
        <v>123958.87529794109</v>
      </c>
      <c r="O7" s="123">
        <f>IS!Q28</f>
        <v>131773.88515086891</v>
      </c>
    </row>
    <row r="8" spans="2:15">
      <c r="B8" s="87" t="s">
        <v>76</v>
      </c>
      <c r="C8" s="87"/>
      <c r="D8" s="87"/>
      <c r="E8" s="87"/>
      <c r="F8" s="124">
        <f>-IS!H33</f>
        <v>2918.0590245734766</v>
      </c>
      <c r="G8" s="124">
        <f>-IS!I33</f>
        <v>3102.0285868468891</v>
      </c>
      <c r="H8" s="124">
        <f>-IS!J33</f>
        <v>3297.596543655181</v>
      </c>
      <c r="I8" s="124">
        <f>-IS!K33</f>
        <v>3505.4941178926433</v>
      </c>
      <c r="J8" s="124">
        <f>-IS!L33</f>
        <v>3726.4986325340133</v>
      </c>
      <c r="K8" s="124">
        <f>-IS!M33</f>
        <v>3961.4364170224394</v>
      </c>
      <c r="L8" s="124">
        <f>-IS!N33</f>
        <v>4211.185896891202</v>
      </c>
      <c r="M8" s="124">
        <f>-IS!O33</f>
        <v>4476.6808781711925</v>
      </c>
      <c r="N8" s="124">
        <f>-IS!P33</f>
        <v>4758.9140388644682</v>
      </c>
      <c r="O8" s="124">
        <f>-IS!Q33</f>
        <v>5058.940640538387</v>
      </c>
    </row>
    <row r="9" spans="2:15">
      <c r="B9" s="87" t="s">
        <v>77</v>
      </c>
      <c r="C9" s="87"/>
      <c r="D9" s="87"/>
      <c r="E9" s="87"/>
      <c r="F9" s="124">
        <f>-IS!H45</f>
        <v>-13601.663103612982</v>
      </c>
      <c r="G9" s="124">
        <f>-IS!I45</f>
        <v>-14459.182429401073</v>
      </c>
      <c r="H9" s="124">
        <f>-IS!J45</f>
        <v>-15370.764217146827</v>
      </c>
      <c r="I9" s="124">
        <f>-IS!K45</f>
        <v>-16339.816844603414</v>
      </c>
      <c r="J9" s="124">
        <f>-IS!L45</f>
        <v>-17369.963571319746</v>
      </c>
      <c r="K9" s="124">
        <f>-IS!M45</f>
        <v>-18465.056085902408</v>
      </c>
      <c r="L9" s="124">
        <f>-IS!N45</f>
        <v>-19629.188907367188</v>
      </c>
      <c r="M9" s="124">
        <f>-IS!O45</f>
        <v>-20866.714694426377</v>
      </c>
      <c r="N9" s="124">
        <f>-IS!P45</f>
        <v>-22182.260519952957</v>
      </c>
      <c r="O9" s="124">
        <f>-IS!Q45</f>
        <v>-23580.745171471281</v>
      </c>
    </row>
    <row r="10" spans="2:15">
      <c r="B10" s="87" t="s">
        <v>78</v>
      </c>
      <c r="C10" s="87"/>
      <c r="D10" s="87"/>
      <c r="E10" s="87"/>
      <c r="F10" s="32">
        <f>-F86+IS!H41</f>
        <v>0</v>
      </c>
      <c r="G10" s="32">
        <f>-G86+IS!I41</f>
        <v>0</v>
      </c>
      <c r="H10" s="32">
        <f>-H86+IS!J41</f>
        <v>0</v>
      </c>
      <c r="I10" s="32">
        <f>-I86+IS!K41</f>
        <v>0</v>
      </c>
      <c r="J10" s="32">
        <f>-J86+IS!L41</f>
        <v>0</v>
      </c>
      <c r="K10" s="32">
        <f>-K86+IS!M41</f>
        <v>0</v>
      </c>
      <c r="L10" s="32">
        <f>-L86+IS!N41</f>
        <v>0</v>
      </c>
      <c r="M10" s="32">
        <f>-M86+IS!O41</f>
        <v>0</v>
      </c>
      <c r="N10" s="32">
        <f>-N86+IS!P41</f>
        <v>0</v>
      </c>
      <c r="O10" s="32">
        <f>-O86+IS!Q41</f>
        <v>0</v>
      </c>
    </row>
    <row r="11" spans="2:15">
      <c r="B11" s="87" t="s">
        <v>79</v>
      </c>
      <c r="C11" s="87"/>
      <c r="D11" s="87"/>
      <c r="E11" s="87"/>
      <c r="F11" s="32">
        <f t="shared" ref="F11:O11" si="0">-F96</f>
        <v>-16730.20507422127</v>
      </c>
      <c r="G11" s="32">
        <f t="shared" si="0"/>
        <v>-17784.963897922164</v>
      </c>
      <c r="H11" s="32">
        <f t="shared" si="0"/>
        <v>-18906.220183623045</v>
      </c>
      <c r="I11" s="32">
        <f t="shared" si="0"/>
        <v>-20098.166275917822</v>
      </c>
      <c r="J11" s="32">
        <f t="shared" si="0"/>
        <v>-21365.258826528352</v>
      </c>
      <c r="K11" s="32">
        <f t="shared" si="0"/>
        <v>-22712.235457595325</v>
      </c>
      <c r="L11" s="32">
        <f t="shared" si="0"/>
        <v>-24144.132475509559</v>
      </c>
      <c r="M11" s="32">
        <f t="shared" si="0"/>
        <v>-25666.303701514844</v>
      </c>
      <c r="N11" s="32">
        <f t="shared" si="0"/>
        <v>-27284.440489489618</v>
      </c>
      <c r="O11" s="32">
        <f t="shared" si="0"/>
        <v>-29004.593005753421</v>
      </c>
    </row>
    <row r="12" spans="2:15">
      <c r="B12" s="87" t="s">
        <v>80</v>
      </c>
      <c r="C12" s="87"/>
      <c r="D12" s="87"/>
      <c r="E12" s="87"/>
      <c r="F12" s="32">
        <f t="shared" ref="F12:O12" si="1">-F139</f>
        <v>1757.5105384461931</v>
      </c>
      <c r="G12" s="32">
        <f t="shared" si="1"/>
        <v>1868.3131101988838</v>
      </c>
      <c r="H12" s="32">
        <f t="shared" si="1"/>
        <v>1986.1012502531084</v>
      </c>
      <c r="I12" s="32">
        <f t="shared" si="1"/>
        <v>2111.3153650337626</v>
      </c>
      <c r="J12" s="32">
        <f t="shared" si="1"/>
        <v>2244.4236264690408</v>
      </c>
      <c r="K12" s="32">
        <f t="shared" si="1"/>
        <v>2385.9237224713434</v>
      </c>
      <c r="L12" s="32">
        <f t="shared" si="1"/>
        <v>2536.3447177783237</v>
      </c>
      <c r="M12" s="32">
        <f t="shared" si="1"/>
        <v>2696.2490321100922</v>
      </c>
      <c r="N12" s="32">
        <f t="shared" si="1"/>
        <v>2866.2345430406276</v>
      </c>
      <c r="O12" s="32">
        <f t="shared" si="1"/>
        <v>3046.9368214440183</v>
      </c>
    </row>
    <row r="13" spans="2:15">
      <c r="B13" s="87" t="s">
        <v>81</v>
      </c>
      <c r="C13" s="87"/>
      <c r="D13" s="87"/>
      <c r="E13" s="87"/>
      <c r="F13" s="32">
        <f t="shared" ref="F13:O13" si="2">-F142</f>
        <v>0</v>
      </c>
      <c r="G13" s="32">
        <f t="shared" si="2"/>
        <v>0</v>
      </c>
      <c r="H13" s="32">
        <f t="shared" si="2"/>
        <v>0</v>
      </c>
      <c r="I13" s="32">
        <f t="shared" si="2"/>
        <v>0</v>
      </c>
      <c r="J13" s="32">
        <f t="shared" si="2"/>
        <v>0</v>
      </c>
      <c r="K13" s="32">
        <f t="shared" si="2"/>
        <v>0</v>
      </c>
      <c r="L13" s="32">
        <f t="shared" si="2"/>
        <v>0</v>
      </c>
      <c r="M13" s="32">
        <f t="shared" si="2"/>
        <v>0</v>
      </c>
      <c r="N13" s="32">
        <f t="shared" si="2"/>
        <v>0</v>
      </c>
      <c r="O13" s="32">
        <f t="shared" si="2"/>
        <v>0</v>
      </c>
    </row>
    <row r="14" spans="2:15">
      <c r="B14" s="83" t="s">
        <v>82</v>
      </c>
      <c r="C14" s="87"/>
      <c r="D14" s="87"/>
      <c r="E14" s="87"/>
      <c r="F14" s="121">
        <f t="shared" ref="F14:O14" si="3">SUM(F7:F13)</f>
        <v>50352.494942937032</v>
      </c>
      <c r="G14" s="121">
        <f t="shared" si="3"/>
        <v>53526.977150465493</v>
      </c>
      <c r="H14" s="121">
        <f t="shared" si="3"/>
        <v>56901.59516650423</v>
      </c>
      <c r="I14" s="121">
        <f t="shared" si="3"/>
        <v>60488.966589524258</v>
      </c>
      <c r="J14" s="121">
        <f t="shared" si="3"/>
        <v>64302.504496788679</v>
      </c>
      <c r="K14" s="121">
        <f t="shared" si="3"/>
        <v>68356.467595457434</v>
      </c>
      <c r="L14" s="121">
        <f t="shared" si="3"/>
        <v>72666.013535478691</v>
      </c>
      <c r="M14" s="121">
        <f t="shared" si="3"/>
        <v>77247.255583599996</v>
      </c>
      <c r="N14" s="121">
        <f t="shared" si="3"/>
        <v>82117.322870403616</v>
      </c>
      <c r="O14" s="121">
        <f t="shared" si="3"/>
        <v>87294.424435626599</v>
      </c>
    </row>
    <row r="15" spans="2:15">
      <c r="B15" s="87"/>
      <c r="C15" s="87"/>
      <c r="D15" s="87"/>
      <c r="E15" s="87"/>
      <c r="F15" s="87"/>
      <c r="G15" s="87"/>
      <c r="H15" s="87"/>
      <c r="I15" s="87"/>
      <c r="J15" s="87"/>
      <c r="K15" s="87"/>
      <c r="L15" s="87"/>
      <c r="M15" s="87"/>
      <c r="N15" s="87"/>
      <c r="O15" s="87"/>
    </row>
    <row r="16" spans="2:15">
      <c r="B16" s="87" t="s">
        <v>83</v>
      </c>
      <c r="C16" s="87"/>
      <c r="D16" s="87"/>
      <c r="E16" s="87"/>
      <c r="F16" s="123">
        <f>IS!H26</f>
        <v>10797.34991351286</v>
      </c>
      <c r="G16" s="123">
        <f>IS!I26</f>
        <v>11478.070803862971</v>
      </c>
      <c r="H16" s="123">
        <f>IS!J26</f>
        <v>12201.707866632305</v>
      </c>
      <c r="I16" s="123">
        <f>IS!K26</f>
        <v>12970.966759721523</v>
      </c>
      <c r="J16" s="123">
        <f>IS!L26</f>
        <v>13788.723719726038</v>
      </c>
      <c r="K16" s="123">
        <f>IS!M26</f>
        <v>14658.036316100883</v>
      </c>
      <c r="L16" s="123">
        <f>IS!N26</f>
        <v>15582.154883323839</v>
      </c>
      <c r="M16" s="123">
        <f>IS!O26</f>
        <v>16564.534673801387</v>
      </c>
      <c r="N16" s="123">
        <f>IS!P26</f>
        <v>17608.848776956795</v>
      </c>
      <c r="O16" s="123">
        <f>IS!Q26</f>
        <v>18719.001852804518</v>
      </c>
    </row>
    <row r="17" spans="2:15">
      <c r="B17" s="87"/>
      <c r="C17" s="87"/>
      <c r="D17" s="87"/>
      <c r="E17" s="87"/>
      <c r="F17" s="87"/>
      <c r="G17" s="87"/>
      <c r="H17" s="87"/>
      <c r="I17" s="87"/>
      <c r="J17" s="87"/>
      <c r="K17" s="87"/>
      <c r="L17" s="87"/>
      <c r="M17" s="87"/>
      <c r="N17" s="87"/>
      <c r="O17" s="87"/>
    </row>
    <row r="18" spans="2:15">
      <c r="B18" s="36" t="s">
        <v>84</v>
      </c>
      <c r="C18" s="23"/>
      <c r="D18" s="23"/>
      <c r="E18" s="23"/>
      <c r="F18" s="23"/>
      <c r="G18" s="23"/>
      <c r="H18" s="23"/>
      <c r="I18" s="23"/>
      <c r="J18" s="23"/>
      <c r="K18" s="23"/>
      <c r="L18" s="23"/>
      <c r="M18" s="23"/>
      <c r="N18" s="23"/>
      <c r="O18" s="23"/>
    </row>
    <row r="19" spans="2:15" ht="3" customHeight="1">
      <c r="B19" s="87"/>
      <c r="C19" s="87"/>
      <c r="D19" s="87"/>
      <c r="E19" s="87"/>
      <c r="F19" s="87"/>
      <c r="G19" s="87"/>
      <c r="H19" s="87"/>
      <c r="I19" s="87"/>
      <c r="J19" s="87"/>
      <c r="K19" s="87"/>
      <c r="L19" s="87"/>
      <c r="M19" s="87"/>
      <c r="N19" s="87"/>
      <c r="O19" s="87"/>
    </row>
    <row r="20" spans="2:15">
      <c r="B20" s="87"/>
      <c r="C20" s="87"/>
      <c r="D20" s="87"/>
      <c r="E20" s="87"/>
      <c r="F20" s="134">
        <f t="shared" ref="F20:O20" si="4">F5</f>
        <v>2018</v>
      </c>
      <c r="G20" s="134">
        <f t="shared" si="4"/>
        <v>2019</v>
      </c>
      <c r="H20" s="134">
        <f t="shared" si="4"/>
        <v>2020</v>
      </c>
      <c r="I20" s="134">
        <f t="shared" si="4"/>
        <v>2021</v>
      </c>
      <c r="J20" s="134">
        <f t="shared" si="4"/>
        <v>2022</v>
      </c>
      <c r="K20" s="134">
        <f t="shared" si="4"/>
        <v>2023</v>
      </c>
      <c r="L20" s="134">
        <f t="shared" si="4"/>
        <v>2024</v>
      </c>
      <c r="M20" s="134">
        <f t="shared" si="4"/>
        <v>2025</v>
      </c>
      <c r="N20" s="134">
        <f t="shared" si="4"/>
        <v>2026</v>
      </c>
      <c r="O20" s="134">
        <f t="shared" si="4"/>
        <v>2027</v>
      </c>
    </row>
    <row r="21" spans="2:15" ht="3" customHeight="1">
      <c r="B21" s="87"/>
      <c r="C21" s="87"/>
      <c r="D21" s="87"/>
      <c r="E21" s="87"/>
      <c r="F21" s="87"/>
      <c r="G21" s="87"/>
      <c r="H21" s="87"/>
      <c r="I21" s="87"/>
      <c r="J21" s="87"/>
      <c r="K21" s="87"/>
      <c r="L21" s="87"/>
      <c r="M21" s="87"/>
      <c r="N21" s="87"/>
      <c r="O21" s="87"/>
    </row>
    <row r="22" spans="2:15">
      <c r="B22" s="87" t="str">
        <f>BS!C35</f>
        <v>Debt 1</v>
      </c>
      <c r="C22" s="87"/>
      <c r="D22" s="87"/>
      <c r="E22" s="87"/>
      <c r="F22" s="135">
        <v>0</v>
      </c>
      <c r="G22" s="135">
        <v>0</v>
      </c>
      <c r="H22" s="135">
        <v>0</v>
      </c>
      <c r="I22" s="135">
        <v>0</v>
      </c>
      <c r="J22" s="135">
        <v>0</v>
      </c>
      <c r="K22" s="135">
        <v>0</v>
      </c>
      <c r="L22" s="135">
        <v>0</v>
      </c>
      <c r="M22" s="135">
        <v>0</v>
      </c>
      <c r="N22" s="135">
        <v>0</v>
      </c>
      <c r="O22" s="135">
        <v>0</v>
      </c>
    </row>
    <row r="23" spans="2:15">
      <c r="B23" s="87" t="str">
        <f>BS!C36</f>
        <v>Debt 2</v>
      </c>
      <c r="C23" s="87"/>
      <c r="D23" s="87"/>
      <c r="E23" s="87"/>
      <c r="F23" s="119">
        <v>0</v>
      </c>
      <c r="G23" s="119">
        <v>0</v>
      </c>
      <c r="H23" s="119">
        <v>0</v>
      </c>
      <c r="I23" s="119">
        <v>0</v>
      </c>
      <c r="J23" s="119">
        <v>0</v>
      </c>
      <c r="K23" s="119">
        <v>0</v>
      </c>
      <c r="L23" s="119">
        <v>0</v>
      </c>
      <c r="M23" s="119">
        <v>0</v>
      </c>
      <c r="N23" s="119">
        <v>0</v>
      </c>
      <c r="O23" s="119">
        <v>0</v>
      </c>
    </row>
    <row r="24" spans="2:15">
      <c r="B24" s="87" t="str">
        <f>BS!C37</f>
        <v>Debt 3</v>
      </c>
      <c r="C24" s="87"/>
      <c r="D24" s="87"/>
      <c r="E24" s="87"/>
      <c r="F24" s="119">
        <v>0</v>
      </c>
      <c r="G24" s="119">
        <v>0</v>
      </c>
      <c r="H24" s="119">
        <v>0</v>
      </c>
      <c r="I24" s="119">
        <v>0</v>
      </c>
      <c r="J24" s="119">
        <v>0</v>
      </c>
      <c r="K24" s="119">
        <v>0</v>
      </c>
      <c r="L24" s="119">
        <v>0</v>
      </c>
      <c r="M24" s="119">
        <v>0</v>
      </c>
      <c r="N24" s="119">
        <v>0</v>
      </c>
      <c r="O24" s="119">
        <v>0</v>
      </c>
    </row>
    <row r="25" spans="2:15">
      <c r="B25" s="87" t="str">
        <f>BS!C38</f>
        <v>Debt 4</v>
      </c>
      <c r="C25" s="87"/>
      <c r="D25" s="87"/>
      <c r="E25" s="87"/>
      <c r="F25" s="119">
        <v>0</v>
      </c>
      <c r="G25" s="119">
        <v>0</v>
      </c>
      <c r="H25" s="119">
        <v>0</v>
      </c>
      <c r="I25" s="119">
        <v>0</v>
      </c>
      <c r="J25" s="119">
        <v>0</v>
      </c>
      <c r="K25" s="119">
        <v>0</v>
      </c>
      <c r="L25" s="119">
        <v>0</v>
      </c>
      <c r="M25" s="119">
        <v>0</v>
      </c>
      <c r="N25" s="119">
        <v>0</v>
      </c>
      <c r="O25" s="119">
        <v>0</v>
      </c>
    </row>
    <row r="26" spans="2:15">
      <c r="B26" s="87" t="str">
        <f>BS!C39</f>
        <v>Debt 5</v>
      </c>
      <c r="C26" s="87"/>
      <c r="D26" s="87"/>
      <c r="E26" s="87"/>
      <c r="F26" s="119">
        <v>0</v>
      </c>
      <c r="G26" s="119">
        <v>0</v>
      </c>
      <c r="H26" s="119">
        <v>0</v>
      </c>
      <c r="I26" s="119">
        <v>0</v>
      </c>
      <c r="J26" s="119">
        <v>0</v>
      </c>
      <c r="K26" s="119">
        <v>0</v>
      </c>
      <c r="L26" s="119">
        <v>0</v>
      </c>
      <c r="M26" s="119">
        <v>0</v>
      </c>
      <c r="N26" s="119">
        <v>0</v>
      </c>
      <c r="O26" s="119">
        <v>0</v>
      </c>
    </row>
    <row r="27" spans="2:15">
      <c r="B27" s="87" t="str">
        <f>BS!C40</f>
        <v>Debt 6</v>
      </c>
      <c r="C27" s="87"/>
      <c r="D27" s="87"/>
      <c r="E27" s="87"/>
      <c r="F27" s="119">
        <v>0</v>
      </c>
      <c r="G27" s="119">
        <v>0</v>
      </c>
      <c r="H27" s="119">
        <v>0</v>
      </c>
      <c r="I27" s="119">
        <v>0</v>
      </c>
      <c r="J27" s="119">
        <v>0</v>
      </c>
      <c r="K27" s="119">
        <v>0</v>
      </c>
      <c r="L27" s="119">
        <v>0</v>
      </c>
      <c r="M27" s="119">
        <v>0</v>
      </c>
      <c r="N27" s="119">
        <v>0</v>
      </c>
      <c r="O27" s="119">
        <v>0</v>
      </c>
    </row>
    <row r="28" spans="2:15">
      <c r="B28" s="87" t="str">
        <f>BS!C41</f>
        <v>Debt 7</v>
      </c>
      <c r="C28" s="87"/>
      <c r="D28" s="87"/>
      <c r="E28" s="87"/>
      <c r="F28" s="119">
        <v>0</v>
      </c>
      <c r="G28" s="119">
        <v>0</v>
      </c>
      <c r="H28" s="119">
        <v>0</v>
      </c>
      <c r="I28" s="119">
        <v>0</v>
      </c>
      <c r="J28" s="119">
        <v>0</v>
      </c>
      <c r="K28" s="119">
        <v>0</v>
      </c>
      <c r="L28" s="119">
        <v>0</v>
      </c>
      <c r="M28" s="119">
        <v>0</v>
      </c>
      <c r="N28" s="119">
        <v>0</v>
      </c>
      <c r="O28" s="119">
        <v>0</v>
      </c>
    </row>
    <row r="29" spans="2:15">
      <c r="B29" s="87" t="str">
        <f>BS!C42</f>
        <v>Debt 8</v>
      </c>
      <c r="C29" s="87"/>
      <c r="D29" s="87"/>
      <c r="E29" s="87"/>
      <c r="F29" s="119">
        <v>0</v>
      </c>
      <c r="G29" s="119">
        <v>0</v>
      </c>
      <c r="H29" s="119">
        <v>0</v>
      </c>
      <c r="I29" s="119">
        <v>0</v>
      </c>
      <c r="J29" s="119">
        <v>0</v>
      </c>
      <c r="K29" s="119">
        <v>0</v>
      </c>
      <c r="L29" s="119">
        <v>0</v>
      </c>
      <c r="M29" s="119">
        <v>0</v>
      </c>
      <c r="N29" s="119">
        <v>0</v>
      </c>
      <c r="O29" s="119">
        <v>0</v>
      </c>
    </row>
    <row r="30" spans="2:15">
      <c r="B30" s="87" t="str">
        <f>BS!C43</f>
        <v>Debt 9</v>
      </c>
      <c r="C30" s="87"/>
      <c r="D30" s="87"/>
      <c r="E30" s="87"/>
      <c r="F30" s="119">
        <v>0</v>
      </c>
      <c r="G30" s="119">
        <v>0</v>
      </c>
      <c r="H30" s="119">
        <v>0</v>
      </c>
      <c r="I30" s="119">
        <v>0</v>
      </c>
      <c r="J30" s="119">
        <v>0</v>
      </c>
      <c r="K30" s="119">
        <v>0</v>
      </c>
      <c r="L30" s="119">
        <v>0</v>
      </c>
      <c r="M30" s="119">
        <v>0</v>
      </c>
      <c r="N30" s="119">
        <v>0</v>
      </c>
      <c r="O30" s="119">
        <v>0</v>
      </c>
    </row>
    <row r="31" spans="2:15">
      <c r="B31" s="87"/>
      <c r="C31" s="87"/>
      <c r="D31" s="87"/>
      <c r="E31" s="87"/>
      <c r="F31" s="121">
        <f t="shared" ref="F31:O31" si="5">SUM(F22:F30)</f>
        <v>0</v>
      </c>
      <c r="G31" s="121">
        <f t="shared" si="5"/>
        <v>0</v>
      </c>
      <c r="H31" s="121">
        <f t="shared" si="5"/>
        <v>0</v>
      </c>
      <c r="I31" s="121">
        <f t="shared" si="5"/>
        <v>0</v>
      </c>
      <c r="J31" s="121">
        <f t="shared" si="5"/>
        <v>0</v>
      </c>
      <c r="K31" s="121">
        <f t="shared" si="5"/>
        <v>0</v>
      </c>
      <c r="L31" s="121">
        <f t="shared" si="5"/>
        <v>0</v>
      </c>
      <c r="M31" s="121">
        <f t="shared" si="5"/>
        <v>0</v>
      </c>
      <c r="N31" s="121">
        <f t="shared" si="5"/>
        <v>0</v>
      </c>
      <c r="O31" s="121">
        <f t="shared" si="5"/>
        <v>0</v>
      </c>
    </row>
    <row r="32" spans="2:15">
      <c r="B32" s="87"/>
      <c r="C32" s="87"/>
      <c r="D32" s="87"/>
      <c r="E32" s="87"/>
      <c r="F32" s="87"/>
      <c r="G32" s="87"/>
      <c r="H32" s="87"/>
      <c r="I32" s="87"/>
      <c r="J32" s="87"/>
      <c r="K32" s="87"/>
      <c r="L32" s="87"/>
      <c r="M32" s="87"/>
      <c r="N32" s="87"/>
      <c r="O32" s="87"/>
    </row>
    <row r="33" spans="2:15">
      <c r="B33" s="36" t="s">
        <v>85</v>
      </c>
      <c r="C33" s="23"/>
      <c r="D33" s="23"/>
      <c r="E33" s="23"/>
      <c r="F33" s="23"/>
      <c r="G33" s="23"/>
      <c r="H33" s="23"/>
      <c r="I33" s="23"/>
      <c r="J33" s="23"/>
      <c r="K33" s="23"/>
      <c r="L33" s="23"/>
      <c r="M33" s="23"/>
      <c r="N33" s="23"/>
      <c r="O33" s="23"/>
    </row>
    <row r="34" spans="2:15" ht="3" customHeight="1">
      <c r="B34" s="87"/>
      <c r="C34" s="87"/>
      <c r="D34" s="87"/>
      <c r="E34" s="87"/>
      <c r="F34" s="87"/>
      <c r="G34" s="87"/>
      <c r="H34" s="87"/>
      <c r="I34" s="87"/>
      <c r="J34" s="87"/>
      <c r="K34" s="87"/>
      <c r="L34" s="87"/>
      <c r="M34" s="87"/>
      <c r="N34" s="87"/>
      <c r="O34" s="87"/>
    </row>
    <row r="35" spans="2:15">
      <c r="B35" s="87"/>
      <c r="C35" s="87"/>
      <c r="D35" s="87"/>
      <c r="E35" s="87"/>
      <c r="F35" s="134">
        <f t="shared" ref="F35:O35" si="6">F5</f>
        <v>2018</v>
      </c>
      <c r="G35" s="134">
        <f t="shared" si="6"/>
        <v>2019</v>
      </c>
      <c r="H35" s="134">
        <f t="shared" si="6"/>
        <v>2020</v>
      </c>
      <c r="I35" s="134">
        <f t="shared" si="6"/>
        <v>2021</v>
      </c>
      <c r="J35" s="134">
        <f t="shared" si="6"/>
        <v>2022</v>
      </c>
      <c r="K35" s="134">
        <f t="shared" si="6"/>
        <v>2023</v>
      </c>
      <c r="L35" s="134">
        <f t="shared" si="6"/>
        <v>2024</v>
      </c>
      <c r="M35" s="134">
        <f t="shared" si="6"/>
        <v>2025</v>
      </c>
      <c r="N35" s="134">
        <f t="shared" si="6"/>
        <v>2026</v>
      </c>
      <c r="O35" s="134">
        <f t="shared" si="6"/>
        <v>2027</v>
      </c>
    </row>
    <row r="36" spans="2:15" ht="3" customHeight="1">
      <c r="B36" s="87"/>
      <c r="C36" s="87"/>
      <c r="D36" s="87"/>
      <c r="E36" s="87"/>
      <c r="F36" s="87"/>
      <c r="G36" s="87"/>
      <c r="H36" s="87"/>
      <c r="I36" s="87"/>
      <c r="J36" s="87"/>
      <c r="K36" s="87"/>
      <c r="L36" s="87"/>
      <c r="M36" s="87"/>
      <c r="N36" s="87"/>
      <c r="O36" s="87"/>
    </row>
    <row r="37" spans="2:15">
      <c r="B37" s="87" t="str">
        <f t="shared" ref="B37:B45" si="7">B22</f>
        <v>Debt 1</v>
      </c>
      <c r="C37" s="87"/>
      <c r="D37" s="87"/>
      <c r="E37" s="87"/>
      <c r="F37" s="113">
        <f t="shared" ref="F37:O37" si="8">MIN(E123,F22)</f>
        <v>0</v>
      </c>
      <c r="G37" s="113">
        <f t="shared" si="8"/>
        <v>0</v>
      </c>
      <c r="H37" s="113">
        <f t="shared" si="8"/>
        <v>0</v>
      </c>
      <c r="I37" s="113">
        <f t="shared" si="8"/>
        <v>0</v>
      </c>
      <c r="J37" s="113">
        <f t="shared" si="8"/>
        <v>0</v>
      </c>
      <c r="K37" s="113">
        <f t="shared" si="8"/>
        <v>0</v>
      </c>
      <c r="L37" s="113">
        <f t="shared" si="8"/>
        <v>0</v>
      </c>
      <c r="M37" s="113">
        <f t="shared" si="8"/>
        <v>0</v>
      </c>
      <c r="N37" s="113">
        <f t="shared" si="8"/>
        <v>0</v>
      </c>
      <c r="O37" s="113">
        <f t="shared" si="8"/>
        <v>0</v>
      </c>
    </row>
    <row r="38" spans="2:15">
      <c r="B38" s="87" t="str">
        <f t="shared" si="7"/>
        <v>Debt 2</v>
      </c>
      <c r="C38" s="87"/>
      <c r="D38" s="87"/>
      <c r="E38" s="87"/>
      <c r="F38" s="28">
        <f t="shared" ref="F38:O38" si="9">MIN(E124,F23)</f>
        <v>0</v>
      </c>
      <c r="G38" s="28">
        <f t="shared" si="9"/>
        <v>0</v>
      </c>
      <c r="H38" s="28">
        <f t="shared" si="9"/>
        <v>0</v>
      </c>
      <c r="I38" s="28">
        <f t="shared" si="9"/>
        <v>0</v>
      </c>
      <c r="J38" s="28">
        <f t="shared" si="9"/>
        <v>0</v>
      </c>
      <c r="K38" s="28">
        <f t="shared" si="9"/>
        <v>0</v>
      </c>
      <c r="L38" s="28">
        <f t="shared" si="9"/>
        <v>0</v>
      </c>
      <c r="M38" s="28">
        <f t="shared" si="9"/>
        <v>0</v>
      </c>
      <c r="N38" s="28">
        <f t="shared" si="9"/>
        <v>0</v>
      </c>
      <c r="O38" s="28">
        <f t="shared" si="9"/>
        <v>0</v>
      </c>
    </row>
    <row r="39" spans="2:15">
      <c r="B39" s="87" t="str">
        <f t="shared" si="7"/>
        <v>Debt 3</v>
      </c>
      <c r="C39" s="87"/>
      <c r="D39" s="87"/>
      <c r="E39" s="87"/>
      <c r="F39" s="28">
        <f t="shared" ref="F39:O39" si="10">MIN(E125,F24)</f>
        <v>0</v>
      </c>
      <c r="G39" s="28">
        <f t="shared" si="10"/>
        <v>0</v>
      </c>
      <c r="H39" s="28">
        <f t="shared" si="10"/>
        <v>0</v>
      </c>
      <c r="I39" s="28">
        <f t="shared" si="10"/>
        <v>0</v>
      </c>
      <c r="J39" s="28">
        <f t="shared" si="10"/>
        <v>0</v>
      </c>
      <c r="K39" s="28">
        <f t="shared" si="10"/>
        <v>0</v>
      </c>
      <c r="L39" s="28">
        <f t="shared" si="10"/>
        <v>0</v>
      </c>
      <c r="M39" s="28">
        <f t="shared" si="10"/>
        <v>0</v>
      </c>
      <c r="N39" s="28">
        <f t="shared" si="10"/>
        <v>0</v>
      </c>
      <c r="O39" s="28">
        <f t="shared" si="10"/>
        <v>0</v>
      </c>
    </row>
    <row r="40" spans="2:15">
      <c r="B40" s="87" t="str">
        <f t="shared" si="7"/>
        <v>Debt 4</v>
      </c>
      <c r="C40" s="87"/>
      <c r="D40" s="87"/>
      <c r="E40" s="87"/>
      <c r="F40" s="28">
        <f t="shared" ref="F40:O40" si="11">MIN(E126,F25)</f>
        <v>0</v>
      </c>
      <c r="G40" s="28">
        <f t="shared" si="11"/>
        <v>0</v>
      </c>
      <c r="H40" s="28">
        <f t="shared" si="11"/>
        <v>0</v>
      </c>
      <c r="I40" s="28">
        <f t="shared" si="11"/>
        <v>0</v>
      </c>
      <c r="J40" s="28">
        <f t="shared" si="11"/>
        <v>0</v>
      </c>
      <c r="K40" s="28">
        <f t="shared" si="11"/>
        <v>0</v>
      </c>
      <c r="L40" s="28">
        <f t="shared" si="11"/>
        <v>0</v>
      </c>
      <c r="M40" s="28">
        <f t="shared" si="11"/>
        <v>0</v>
      </c>
      <c r="N40" s="28">
        <f t="shared" si="11"/>
        <v>0</v>
      </c>
      <c r="O40" s="28">
        <f t="shared" si="11"/>
        <v>0</v>
      </c>
    </row>
    <row r="41" spans="2:15">
      <c r="B41" s="87" t="str">
        <f t="shared" si="7"/>
        <v>Debt 5</v>
      </c>
      <c r="C41" s="87"/>
      <c r="D41" s="87"/>
      <c r="E41" s="87"/>
      <c r="F41" s="28">
        <f t="shared" ref="F41:O41" si="12">MIN(E127,F26)</f>
        <v>0</v>
      </c>
      <c r="G41" s="28">
        <f t="shared" si="12"/>
        <v>0</v>
      </c>
      <c r="H41" s="28">
        <f t="shared" si="12"/>
        <v>0</v>
      </c>
      <c r="I41" s="28">
        <f t="shared" si="12"/>
        <v>0</v>
      </c>
      <c r="J41" s="28">
        <f t="shared" si="12"/>
        <v>0</v>
      </c>
      <c r="K41" s="28">
        <f t="shared" si="12"/>
        <v>0</v>
      </c>
      <c r="L41" s="28">
        <f t="shared" si="12"/>
        <v>0</v>
      </c>
      <c r="M41" s="28">
        <f t="shared" si="12"/>
        <v>0</v>
      </c>
      <c r="N41" s="28">
        <f t="shared" si="12"/>
        <v>0</v>
      </c>
      <c r="O41" s="28">
        <f t="shared" si="12"/>
        <v>0</v>
      </c>
    </row>
    <row r="42" spans="2:15">
      <c r="B42" s="87" t="str">
        <f t="shared" si="7"/>
        <v>Debt 6</v>
      </c>
      <c r="C42" s="87"/>
      <c r="D42" s="87"/>
      <c r="E42" s="87"/>
      <c r="F42" s="28">
        <f t="shared" ref="F42:O42" si="13">MIN(E128,F27)</f>
        <v>0</v>
      </c>
      <c r="G42" s="28">
        <f t="shared" si="13"/>
        <v>0</v>
      </c>
      <c r="H42" s="28">
        <f t="shared" si="13"/>
        <v>0</v>
      </c>
      <c r="I42" s="28">
        <f t="shared" si="13"/>
        <v>0</v>
      </c>
      <c r="J42" s="28">
        <f t="shared" si="13"/>
        <v>0</v>
      </c>
      <c r="K42" s="28">
        <f t="shared" si="13"/>
        <v>0</v>
      </c>
      <c r="L42" s="28">
        <f t="shared" si="13"/>
        <v>0</v>
      </c>
      <c r="M42" s="28">
        <f t="shared" si="13"/>
        <v>0</v>
      </c>
      <c r="N42" s="28">
        <f t="shared" si="13"/>
        <v>0</v>
      </c>
      <c r="O42" s="28">
        <f t="shared" si="13"/>
        <v>0</v>
      </c>
    </row>
    <row r="43" spans="2:15">
      <c r="B43" s="87" t="str">
        <f t="shared" si="7"/>
        <v>Debt 7</v>
      </c>
      <c r="C43" s="87"/>
      <c r="D43" s="87"/>
      <c r="E43" s="87"/>
      <c r="F43" s="28">
        <f t="shared" ref="F43:O43" si="14">MIN(E129,F28)</f>
        <v>0</v>
      </c>
      <c r="G43" s="28">
        <f t="shared" si="14"/>
        <v>0</v>
      </c>
      <c r="H43" s="28">
        <f t="shared" si="14"/>
        <v>0</v>
      </c>
      <c r="I43" s="28">
        <f t="shared" si="14"/>
        <v>0</v>
      </c>
      <c r="J43" s="28">
        <f t="shared" si="14"/>
        <v>0</v>
      </c>
      <c r="K43" s="28">
        <f t="shared" si="14"/>
        <v>0</v>
      </c>
      <c r="L43" s="28">
        <f t="shared" si="14"/>
        <v>0</v>
      </c>
      <c r="M43" s="28">
        <f t="shared" si="14"/>
        <v>0</v>
      </c>
      <c r="N43" s="28">
        <f t="shared" si="14"/>
        <v>0</v>
      </c>
      <c r="O43" s="28">
        <f t="shared" si="14"/>
        <v>0</v>
      </c>
    </row>
    <row r="44" spans="2:15">
      <c r="B44" s="87" t="str">
        <f t="shared" si="7"/>
        <v>Debt 8</v>
      </c>
      <c r="C44" s="87"/>
      <c r="D44" s="87"/>
      <c r="E44" s="87"/>
      <c r="F44" s="28">
        <f t="shared" ref="F44:O44" si="15">MIN(E130,F29)</f>
        <v>0</v>
      </c>
      <c r="G44" s="28">
        <f t="shared" si="15"/>
        <v>0</v>
      </c>
      <c r="H44" s="28">
        <f t="shared" si="15"/>
        <v>0</v>
      </c>
      <c r="I44" s="28">
        <f t="shared" si="15"/>
        <v>0</v>
      </c>
      <c r="J44" s="28">
        <f t="shared" si="15"/>
        <v>0</v>
      </c>
      <c r="K44" s="28">
        <f t="shared" si="15"/>
        <v>0</v>
      </c>
      <c r="L44" s="28">
        <f t="shared" si="15"/>
        <v>0</v>
      </c>
      <c r="M44" s="28">
        <f t="shared" si="15"/>
        <v>0</v>
      </c>
      <c r="N44" s="28">
        <f t="shared" si="15"/>
        <v>0</v>
      </c>
      <c r="O44" s="28">
        <f t="shared" si="15"/>
        <v>0</v>
      </c>
    </row>
    <row r="45" spans="2:15">
      <c r="B45" s="87" t="str">
        <f t="shared" si="7"/>
        <v>Debt 9</v>
      </c>
      <c r="C45" s="87"/>
      <c r="D45" s="87"/>
      <c r="E45" s="87"/>
      <c r="F45" s="28">
        <f t="shared" ref="F45:O45" si="16">MIN(E131,F30)</f>
        <v>0</v>
      </c>
      <c r="G45" s="28">
        <f t="shared" si="16"/>
        <v>0</v>
      </c>
      <c r="H45" s="28">
        <f t="shared" si="16"/>
        <v>0</v>
      </c>
      <c r="I45" s="28">
        <f t="shared" si="16"/>
        <v>0</v>
      </c>
      <c r="J45" s="28">
        <f t="shared" si="16"/>
        <v>0</v>
      </c>
      <c r="K45" s="28">
        <f t="shared" si="16"/>
        <v>0</v>
      </c>
      <c r="L45" s="28">
        <f t="shared" si="16"/>
        <v>0</v>
      </c>
      <c r="M45" s="28">
        <f t="shared" si="16"/>
        <v>0</v>
      </c>
      <c r="N45" s="28">
        <f t="shared" si="16"/>
        <v>0</v>
      </c>
      <c r="O45" s="28">
        <f t="shared" si="16"/>
        <v>0</v>
      </c>
    </row>
    <row r="46" spans="2:15">
      <c r="B46" s="87"/>
      <c r="C46" s="87"/>
      <c r="D46" s="87"/>
      <c r="E46" s="87"/>
      <c r="F46" s="121">
        <f t="shared" ref="F46:O46" si="17">SUM(F37:F45)</f>
        <v>0</v>
      </c>
      <c r="G46" s="121">
        <f t="shared" si="17"/>
        <v>0</v>
      </c>
      <c r="H46" s="121">
        <f t="shared" si="17"/>
        <v>0</v>
      </c>
      <c r="I46" s="121">
        <f t="shared" si="17"/>
        <v>0</v>
      </c>
      <c r="J46" s="121">
        <f t="shared" si="17"/>
        <v>0</v>
      </c>
      <c r="K46" s="121">
        <f t="shared" si="17"/>
        <v>0</v>
      </c>
      <c r="L46" s="121">
        <f t="shared" si="17"/>
        <v>0</v>
      </c>
      <c r="M46" s="121">
        <f t="shared" si="17"/>
        <v>0</v>
      </c>
      <c r="N46" s="121">
        <f t="shared" si="17"/>
        <v>0</v>
      </c>
      <c r="O46" s="121">
        <f t="shared" si="17"/>
        <v>0</v>
      </c>
    </row>
    <row r="47" spans="2:15">
      <c r="B47" s="87"/>
      <c r="C47" s="87"/>
      <c r="D47" s="87"/>
      <c r="E47" s="87"/>
      <c r="F47" s="87"/>
      <c r="G47" s="87"/>
      <c r="H47" s="87"/>
      <c r="I47" s="87"/>
      <c r="J47" s="87"/>
      <c r="K47" s="87"/>
      <c r="L47" s="87"/>
      <c r="M47" s="87"/>
      <c r="N47" s="87"/>
      <c r="O47" s="87"/>
    </row>
    <row r="48" spans="2:15">
      <c r="B48" s="36" t="s">
        <v>86</v>
      </c>
      <c r="C48" s="23"/>
      <c r="D48" s="23"/>
      <c r="E48" s="23"/>
      <c r="F48" s="23"/>
      <c r="G48" s="23"/>
      <c r="H48" s="23"/>
      <c r="I48" s="23"/>
      <c r="J48" s="23"/>
      <c r="K48" s="23"/>
      <c r="L48" s="23"/>
      <c r="M48" s="23"/>
      <c r="N48" s="23"/>
      <c r="O48" s="23"/>
    </row>
    <row r="49" spans="2:15" ht="3" customHeight="1">
      <c r="B49" s="87"/>
      <c r="C49" s="87"/>
      <c r="D49" s="87"/>
      <c r="E49" s="87"/>
      <c r="F49" s="87"/>
      <c r="G49" s="87"/>
      <c r="H49" s="87"/>
      <c r="I49" s="87"/>
      <c r="J49" s="87"/>
      <c r="K49" s="87"/>
      <c r="L49" s="87"/>
      <c r="M49" s="87"/>
      <c r="N49" s="87"/>
      <c r="O49" s="87"/>
    </row>
    <row r="50" spans="2:15">
      <c r="B50" s="87"/>
      <c r="C50" s="87"/>
      <c r="D50" s="87"/>
      <c r="E50" s="87"/>
      <c r="F50" s="134">
        <f t="shared" ref="F50:O50" si="18">F5</f>
        <v>2018</v>
      </c>
      <c r="G50" s="134">
        <f t="shared" si="18"/>
        <v>2019</v>
      </c>
      <c r="H50" s="134">
        <f t="shared" si="18"/>
        <v>2020</v>
      </c>
      <c r="I50" s="134">
        <f t="shared" si="18"/>
        <v>2021</v>
      </c>
      <c r="J50" s="134">
        <f t="shared" si="18"/>
        <v>2022</v>
      </c>
      <c r="K50" s="134">
        <f t="shared" si="18"/>
        <v>2023</v>
      </c>
      <c r="L50" s="134">
        <f t="shared" si="18"/>
        <v>2024</v>
      </c>
      <c r="M50" s="134">
        <f t="shared" si="18"/>
        <v>2025</v>
      </c>
      <c r="N50" s="134">
        <f t="shared" si="18"/>
        <v>2026</v>
      </c>
      <c r="O50" s="134">
        <f t="shared" si="18"/>
        <v>2027</v>
      </c>
    </row>
    <row r="51" spans="2:15" ht="3" customHeight="1">
      <c r="B51" s="87"/>
      <c r="C51" s="87"/>
      <c r="D51" s="87"/>
      <c r="E51" s="87"/>
      <c r="F51" s="87"/>
      <c r="G51" s="87"/>
      <c r="H51" s="87"/>
      <c r="I51" s="87"/>
      <c r="J51" s="87"/>
      <c r="K51" s="87"/>
      <c r="L51" s="87"/>
      <c r="M51" s="87"/>
      <c r="N51" s="87"/>
      <c r="O51" s="87"/>
    </row>
    <row r="52" spans="2:15">
      <c r="B52" s="87" t="s">
        <v>87</v>
      </c>
      <c r="C52" s="87"/>
      <c r="D52" s="87"/>
      <c r="E52" s="87"/>
      <c r="F52" s="113">
        <f t="shared" ref="F52:O52" si="19">F14-F46</f>
        <v>50352.494942937032</v>
      </c>
      <c r="G52" s="113">
        <f t="shared" si="19"/>
        <v>53526.977150465493</v>
      </c>
      <c r="H52" s="113">
        <f t="shared" si="19"/>
        <v>56901.59516650423</v>
      </c>
      <c r="I52" s="113">
        <f t="shared" si="19"/>
        <v>60488.966589524258</v>
      </c>
      <c r="J52" s="113">
        <f t="shared" si="19"/>
        <v>64302.504496788679</v>
      </c>
      <c r="K52" s="113">
        <f t="shared" si="19"/>
        <v>68356.467595457434</v>
      </c>
      <c r="L52" s="113">
        <f t="shared" si="19"/>
        <v>72666.013535478691</v>
      </c>
      <c r="M52" s="113">
        <f t="shared" si="19"/>
        <v>77247.255583599996</v>
      </c>
      <c r="N52" s="113">
        <f t="shared" si="19"/>
        <v>82117.322870403616</v>
      </c>
      <c r="O52" s="113">
        <f t="shared" si="19"/>
        <v>87294.424435626599</v>
      </c>
    </row>
    <row r="53" spans="2:15">
      <c r="B53" s="87" t="s">
        <v>88</v>
      </c>
      <c r="C53" s="136">
        <v>0</v>
      </c>
      <c r="D53" s="87"/>
      <c r="E53" s="87"/>
      <c r="F53" s="87"/>
      <c r="G53" s="87"/>
      <c r="H53" s="87"/>
      <c r="I53" s="87"/>
      <c r="J53" s="87"/>
      <c r="K53" s="87"/>
      <c r="L53" s="87"/>
      <c r="M53" s="87"/>
      <c r="N53" s="87"/>
      <c r="O53" s="87"/>
    </row>
    <row r="54" spans="2:15">
      <c r="B54" s="87" t="s">
        <v>89</v>
      </c>
      <c r="C54" s="87"/>
      <c r="D54" s="87"/>
      <c r="E54" s="87"/>
      <c r="F54" s="121">
        <f>F52+E103-C53</f>
        <v>319247.49494293705</v>
      </c>
      <c r="G54" s="121">
        <f>G52+F103-C53</f>
        <v>257094.47209340252</v>
      </c>
      <c r="H54" s="121">
        <f>H52+G103-C53</f>
        <v>313996.06725990673</v>
      </c>
      <c r="I54" s="121">
        <f>I52+H103-C53</f>
        <v>374485.03384943097</v>
      </c>
      <c r="J54" s="121">
        <f>J52+I103-C53</f>
        <v>438787.53834621963</v>
      </c>
      <c r="K54" s="121">
        <f>K52+J103-C53</f>
        <v>507144.00594167708</v>
      </c>
      <c r="L54" s="121">
        <f>L52+K103-C53</f>
        <v>579810.01947715576</v>
      </c>
      <c r="M54" s="121">
        <f>M52+L103-C53</f>
        <v>657057.27506075578</v>
      </c>
      <c r="N54" s="121">
        <f>N52+M103-C53</f>
        <v>739174.59793115943</v>
      </c>
      <c r="O54" s="121">
        <f>O52+N103-C53</f>
        <v>826469.02236678603</v>
      </c>
    </row>
    <row r="55" spans="2:15">
      <c r="B55" s="87"/>
      <c r="C55" s="87"/>
      <c r="D55" s="87"/>
      <c r="E55" s="87"/>
      <c r="F55" s="87"/>
      <c r="G55" s="87"/>
      <c r="H55" s="87"/>
      <c r="I55" s="87"/>
      <c r="J55" s="87"/>
      <c r="K55" s="87"/>
      <c r="L55" s="87"/>
      <c r="M55" s="87"/>
      <c r="N55" s="87"/>
      <c r="O55" s="87"/>
    </row>
    <row r="56" spans="2:15">
      <c r="B56" s="36" t="s">
        <v>90</v>
      </c>
      <c r="C56" s="23"/>
      <c r="D56" s="23"/>
      <c r="E56" s="23"/>
      <c r="F56" s="23"/>
      <c r="G56" s="23"/>
      <c r="H56" s="23"/>
      <c r="I56" s="23"/>
      <c r="J56" s="23"/>
      <c r="K56" s="23"/>
      <c r="L56" s="23"/>
      <c r="M56" s="23"/>
      <c r="N56" s="23"/>
      <c r="O56" s="23"/>
    </row>
    <row r="57" spans="2:15" ht="3" customHeight="1">
      <c r="B57" s="87"/>
      <c r="C57" s="87"/>
      <c r="D57" s="87"/>
      <c r="E57" s="87"/>
      <c r="F57" s="87"/>
      <c r="G57" s="87"/>
      <c r="H57" s="87"/>
      <c r="I57" s="87"/>
      <c r="J57" s="87"/>
      <c r="K57" s="87"/>
      <c r="L57" s="87"/>
      <c r="M57" s="87"/>
      <c r="N57" s="87"/>
      <c r="O57" s="87"/>
    </row>
    <row r="58" spans="2:15">
      <c r="B58" s="87"/>
      <c r="C58" s="87"/>
      <c r="D58" s="87"/>
      <c r="E58" s="35" t="s">
        <v>91</v>
      </c>
      <c r="F58" s="134">
        <f t="shared" ref="F58:O58" si="20">F5</f>
        <v>2018</v>
      </c>
      <c r="G58" s="134">
        <f t="shared" si="20"/>
        <v>2019</v>
      </c>
      <c r="H58" s="134">
        <f t="shared" si="20"/>
        <v>2020</v>
      </c>
      <c r="I58" s="134">
        <f t="shared" si="20"/>
        <v>2021</v>
      </c>
      <c r="J58" s="134">
        <f t="shared" si="20"/>
        <v>2022</v>
      </c>
      <c r="K58" s="134">
        <f t="shared" si="20"/>
        <v>2023</v>
      </c>
      <c r="L58" s="134">
        <f t="shared" si="20"/>
        <v>2024</v>
      </c>
      <c r="M58" s="134">
        <f t="shared" si="20"/>
        <v>2025</v>
      </c>
      <c r="N58" s="134">
        <f t="shared" si="20"/>
        <v>2026</v>
      </c>
      <c r="O58" s="134">
        <f t="shared" si="20"/>
        <v>2027</v>
      </c>
    </row>
    <row r="59" spans="2:15" ht="3" customHeight="1">
      <c r="B59" s="87"/>
      <c r="C59" s="87"/>
      <c r="D59" s="87"/>
      <c r="E59" s="87"/>
      <c r="F59" s="87"/>
      <c r="G59" s="87"/>
      <c r="H59" s="87"/>
      <c r="I59" s="87"/>
      <c r="J59" s="87"/>
      <c r="K59" s="87"/>
      <c r="L59" s="87"/>
      <c r="M59" s="87"/>
      <c r="N59" s="87"/>
      <c r="O59" s="87"/>
    </row>
    <row r="60" spans="2:15">
      <c r="B60" s="87" t="str">
        <f t="shared" ref="B60:B68" si="21">B37</f>
        <v>Debt 1</v>
      </c>
      <c r="C60" s="87" t="s">
        <v>92</v>
      </c>
      <c r="D60" s="137">
        <v>1</v>
      </c>
      <c r="E60" s="138">
        <v>1</v>
      </c>
      <c r="F60" s="113">
        <f>MIN(E123-F37,F54*D60)*E60</f>
        <v>115680</v>
      </c>
      <c r="G60" s="113">
        <f>MIN(F123-G37,G54*D60)*E60</f>
        <v>0</v>
      </c>
      <c r="H60" s="113">
        <f>MIN(G123-H37,H54*D60)*E60</f>
        <v>0</v>
      </c>
      <c r="I60" s="113">
        <f>MIN(H123-I37,I54*D60)*E60</f>
        <v>0</v>
      </c>
      <c r="J60" s="113">
        <f>MIN(I123-J37,J54*D60)*E60</f>
        <v>0</v>
      </c>
      <c r="K60" s="113">
        <f>MIN(J123-K37,K54*D60)*E60</f>
        <v>0</v>
      </c>
      <c r="L60" s="113">
        <f>MIN(K123-L37,L54*D60)*E60</f>
        <v>0</v>
      </c>
      <c r="M60" s="113">
        <f>MIN(L123-M37,M54*D60)*E60</f>
        <v>0</v>
      </c>
      <c r="N60" s="113">
        <f>MIN(M123-N37,N54*D60)*E60</f>
        <v>0</v>
      </c>
      <c r="O60" s="113">
        <f>MIN(N123-O37,O54*D60)*E60</f>
        <v>0</v>
      </c>
    </row>
    <row r="61" spans="2:15">
      <c r="B61" s="87" t="str">
        <f t="shared" si="21"/>
        <v>Debt 2</v>
      </c>
      <c r="C61" s="87"/>
      <c r="D61" s="87"/>
      <c r="E61" s="138">
        <v>1</v>
      </c>
      <c r="F61" s="28">
        <f>MIN(E124-F38,F54*D60-F60)*E61</f>
        <v>0</v>
      </c>
      <c r="G61" s="28">
        <f>MIN(F124-G38,G54*D60-G60)*E61</f>
        <v>0</v>
      </c>
      <c r="H61" s="28">
        <f>MIN(G124-H38,H54*D60-H60)*E61</f>
        <v>0</v>
      </c>
      <c r="I61" s="28">
        <f>MIN(H124-I38,I54*D60-I60)*E61</f>
        <v>0</v>
      </c>
      <c r="J61" s="28">
        <f>MIN(I124-J38,J54*D60-J60)*E61</f>
        <v>0</v>
      </c>
      <c r="K61" s="28">
        <f>MIN(J124-K38,K54*D60-K60)*E61</f>
        <v>0</v>
      </c>
      <c r="L61" s="28">
        <f>MIN(K124-L38,L54*D60-L60)*E61</f>
        <v>0</v>
      </c>
      <c r="M61" s="28">
        <f>MIN(L124-M38,M54*D60-M60)*E61</f>
        <v>0</v>
      </c>
      <c r="N61" s="28">
        <f>MIN(M124-N38,N54*D60-N60)*E61</f>
        <v>0</v>
      </c>
      <c r="O61" s="28">
        <f>MIN(N124-O38,O54*D60-O60)*E61</f>
        <v>0</v>
      </c>
    </row>
    <row r="62" spans="2:15">
      <c r="B62" s="87" t="str">
        <f t="shared" si="21"/>
        <v>Debt 3</v>
      </c>
      <c r="C62" s="87"/>
      <c r="D62" s="87"/>
      <c r="E62" s="138">
        <v>1</v>
      </c>
      <c r="F62" s="28">
        <f>MIN(E125-F39,F54*D60-F60-F61)*E62</f>
        <v>0</v>
      </c>
      <c r="G62" s="28">
        <f>MIN(F125-G39,G54*D60-G60-G61)*E62</f>
        <v>0</v>
      </c>
      <c r="H62" s="28">
        <f>MIN(G125-H39,H54*D60-H60-H61)*E62</f>
        <v>0</v>
      </c>
      <c r="I62" s="28">
        <f>MIN(H125-I39,I54*D60-I60-I61)*E62</f>
        <v>0</v>
      </c>
      <c r="J62" s="28">
        <f>MIN(I125-J39,J54*D60-J60-J61)*E62</f>
        <v>0</v>
      </c>
      <c r="K62" s="28">
        <f>MIN(J125-K39,K54*D60-K60-K61)*E62</f>
        <v>0</v>
      </c>
      <c r="L62" s="28">
        <f>MIN(K125-L39,L54*D60-L60-L61)*E62</f>
        <v>0</v>
      </c>
      <c r="M62" s="28">
        <f>MIN(L125-M39,M54*D60-M60-M61)*E62</f>
        <v>0</v>
      </c>
      <c r="N62" s="28">
        <f>MIN(M125-N39,N54*D60-N60-N61)*E62</f>
        <v>0</v>
      </c>
      <c r="O62" s="28">
        <f>MIN(N125-O39,O54*D60-O60-O61)*E62</f>
        <v>0</v>
      </c>
    </row>
    <row r="63" spans="2:15">
      <c r="B63" s="87" t="str">
        <f t="shared" si="21"/>
        <v>Debt 4</v>
      </c>
      <c r="C63" s="87"/>
      <c r="D63" s="87"/>
      <c r="E63" s="138">
        <v>1</v>
      </c>
      <c r="F63" s="28">
        <f>MIN(E126-F40,F54*D60-F60-F61-F62)*E63</f>
        <v>0</v>
      </c>
      <c r="G63" s="28">
        <f>MIN(F126-G40,G54*D60-G60-G61-G62)*E63</f>
        <v>0</v>
      </c>
      <c r="H63" s="28">
        <f>MIN(G126-H40,H54*D60-H60-H61-H62)*E63</f>
        <v>0</v>
      </c>
      <c r="I63" s="28">
        <f>MIN(H126-I40,I54*D60-I60-I61-I62)*E63</f>
        <v>0</v>
      </c>
      <c r="J63" s="28">
        <f>MIN(I126-J40,J54*D60-J60-J61-J62)*E63</f>
        <v>0</v>
      </c>
      <c r="K63" s="28">
        <f>MIN(J126-K40,K54*D60-K60-K61-K62)*E63</f>
        <v>0</v>
      </c>
      <c r="L63" s="28">
        <f>MIN(K126-L40,L54*D60-L60-L61-L62)*E63</f>
        <v>0</v>
      </c>
      <c r="M63" s="28">
        <f>MIN(L126-M40,M54*D60-M60-M61-M62)*E63</f>
        <v>0</v>
      </c>
      <c r="N63" s="28">
        <f>MIN(M126-N40,N54*D60-N60-N61-N62)*E63</f>
        <v>0</v>
      </c>
      <c r="O63" s="28">
        <f>MIN(N126-O40,O54*D60-O60-O61-O62)*E63</f>
        <v>0</v>
      </c>
    </row>
    <row r="64" spans="2:15">
      <c r="B64" s="87" t="str">
        <f t="shared" si="21"/>
        <v>Debt 5</v>
      </c>
      <c r="C64" s="87"/>
      <c r="D64" s="87"/>
      <c r="E64" s="138">
        <v>1</v>
      </c>
      <c r="F64" s="28">
        <f>MIN(E127-F41,F54*D60-F60-F61-F62-F63)*E64</f>
        <v>0</v>
      </c>
      <c r="G64" s="28">
        <f>MIN(F127-G41,G54*D60-G60-G61-G62-G63)*E64</f>
        <v>0</v>
      </c>
      <c r="H64" s="28">
        <f>MIN(G127-H41,H54*D60-H60-H61-H62-H63)*E64</f>
        <v>0</v>
      </c>
      <c r="I64" s="28">
        <f>MIN(H127-I41,I54*D60-I60-I61-I62-I63)*E64</f>
        <v>0</v>
      </c>
      <c r="J64" s="28">
        <f>MIN(I127-J41,J54*D60-J60-J61-J62-J63)*E64</f>
        <v>0</v>
      </c>
      <c r="K64" s="28">
        <f>MIN(J127-K41,K54*D60-K60-K61-K62-K63)*E64</f>
        <v>0</v>
      </c>
      <c r="L64" s="28">
        <f>MIN(K127-L41,L54*D60-L60-L61-L62-L63)*E64</f>
        <v>0</v>
      </c>
      <c r="M64" s="28">
        <f>MIN(L127-M41,M54*D60-M60-M61-M62-M63)*E64</f>
        <v>0</v>
      </c>
      <c r="N64" s="28">
        <f>MIN(M127-N41,N54*D60-N60-N61-N62-N63)*E64</f>
        <v>0</v>
      </c>
      <c r="O64" s="28">
        <f>MIN(N127-O41,O54*D60-O60-O61-O62-O63)*E64</f>
        <v>0</v>
      </c>
    </row>
    <row r="65" spans="2:15">
      <c r="B65" s="87" t="str">
        <f t="shared" si="21"/>
        <v>Debt 6</v>
      </c>
      <c r="C65" s="87"/>
      <c r="D65" s="87"/>
      <c r="E65" s="138">
        <v>1</v>
      </c>
      <c r="F65" s="28">
        <f>MIN(E128-F42,F54*D60-F60-F61-F62-F63-F64)*E65</f>
        <v>0</v>
      </c>
      <c r="G65" s="28">
        <f>MIN(F128-G42,G54*D60-G60-G61-G62-G63-G64)*E65</f>
        <v>0</v>
      </c>
      <c r="H65" s="28">
        <f>MIN(G128-H42,H54*D60-H60-H61-H62-H63-H64)*E65</f>
        <v>0</v>
      </c>
      <c r="I65" s="28">
        <f>MIN(H128-I42,I54*D60-I60-I61-I62-I63-I64)*E65</f>
        <v>0</v>
      </c>
      <c r="J65" s="28">
        <f>MIN(I128-J42,J54*D60-J60-J61-J62-J63-J64)*E65</f>
        <v>0</v>
      </c>
      <c r="K65" s="28">
        <f>MIN(J128-K42,K54*D60-K60-K61-K62-K63-K64)*E65</f>
        <v>0</v>
      </c>
      <c r="L65" s="28">
        <f>MIN(K128-L42,L54*D60-L60-L61-L62-L63-L64)*E65</f>
        <v>0</v>
      </c>
      <c r="M65" s="28">
        <f>MIN(L128-M42,M54*D60-M60-M61-M62-M63-M64)*E65</f>
        <v>0</v>
      </c>
      <c r="N65" s="28">
        <f>MIN(M128-N42,N54*D60-N60-N61-N62-N63-N64)*E65</f>
        <v>0</v>
      </c>
      <c r="O65" s="28">
        <f>MIN(N128-O42,O54*D60-O60-O61-O62-O63-O64)*E65</f>
        <v>0</v>
      </c>
    </row>
    <row r="66" spans="2:15">
      <c r="B66" s="87" t="str">
        <f t="shared" si="21"/>
        <v>Debt 7</v>
      </c>
      <c r="C66" s="87"/>
      <c r="D66" s="87"/>
      <c r="E66" s="138">
        <v>1</v>
      </c>
      <c r="F66" s="28">
        <f>MIN(E129-F43,F54*D60-F60-F61-F62-F63-F64-F65)*E66</f>
        <v>0</v>
      </c>
      <c r="G66" s="28">
        <f>MIN(F129-G43,G54*D60-G60-G61-G62-G63-G64-G65)*E66</f>
        <v>0</v>
      </c>
      <c r="H66" s="28">
        <f>MIN(G129-H43,H54*D60-H60-H61-H62-H63-H64-H65)*E66</f>
        <v>0</v>
      </c>
      <c r="I66" s="28">
        <f>MIN(H129-I43,I54*D60-I60-I61-I62-I63-I64-I65)*E66</f>
        <v>0</v>
      </c>
      <c r="J66" s="28">
        <f>MIN(I129-J43,J54*D60-J60-J61-J62-J63-J64-J65)*E66</f>
        <v>0</v>
      </c>
      <c r="K66" s="28">
        <f>MIN(J129-K43,K54*D60-K60-K61-K62-K63-K64-K65)*E66</f>
        <v>0</v>
      </c>
      <c r="L66" s="28">
        <f>MIN(K129-L43,L54*D60-L60-L61-L62-L63-L64-L65)*E66</f>
        <v>0</v>
      </c>
      <c r="M66" s="28">
        <f>MIN(L129-M43,M54*D60-M60-M61-M62-M63-M64-M65)*E66</f>
        <v>0</v>
      </c>
      <c r="N66" s="28">
        <f>MIN(M129-N43,N54*D60-N60-N61-N62-N63-N64-N65)*E66</f>
        <v>0</v>
      </c>
      <c r="O66" s="28">
        <f>MIN(N129-O43,O54*D60-O60-O61-O62-O63-O64-O65)*E66</f>
        <v>0</v>
      </c>
    </row>
    <row r="67" spans="2:15">
      <c r="B67" s="87" t="str">
        <f t="shared" si="21"/>
        <v>Debt 8</v>
      </c>
      <c r="C67" s="87"/>
      <c r="D67" s="87"/>
      <c r="E67" s="138">
        <v>1</v>
      </c>
      <c r="F67" s="28">
        <f>MIN(E130-F44,F54*D60-F60-F61-F62-F63-F64-F65-F66)*E67</f>
        <v>0</v>
      </c>
      <c r="G67" s="28">
        <f>MIN(F130-G44,G54*D60-G60-G61-G62-G63-G64-G65-G66)*E67</f>
        <v>0</v>
      </c>
      <c r="H67" s="28">
        <f>MIN(G130-H44,H54*D60-H60-H61-H62-H63-H64-H65-H66)*E67</f>
        <v>0</v>
      </c>
      <c r="I67" s="28">
        <f>MIN(H130-I44,I54*D60-I60-I61-I62-I63-I64-I65-I66)*E67</f>
        <v>0</v>
      </c>
      <c r="J67" s="28">
        <f>MIN(I130-J44,J54*D60-J60-J61-J62-J63-J64-J65-J66)*E67</f>
        <v>0</v>
      </c>
      <c r="K67" s="28">
        <f>MIN(J130-K44,K54*D60-K60-K61-K62-K63-K64-K65-K66)*E67</f>
        <v>0</v>
      </c>
      <c r="L67" s="28">
        <f>MIN(K130-L44,L54*D60-L60-L61-L62-L63-L64-L65-L66)*E67</f>
        <v>0</v>
      </c>
      <c r="M67" s="28">
        <f>MIN(L130-M44,M54*D60-M60-M61-M62-M63-M64-M65-M66)*E67</f>
        <v>0</v>
      </c>
      <c r="N67" s="28">
        <f>MIN(M130-N44,N54*D60-N60-N61-N62-N63-N64-N65-N66)*E67</f>
        <v>0</v>
      </c>
      <c r="O67" s="28">
        <f>MIN(N130-O44,O54*D60-O60-O61-O62-O63-O64-O65-O66)*E67</f>
        <v>0</v>
      </c>
    </row>
    <row r="68" spans="2:15">
      <c r="B68" s="87" t="str">
        <f t="shared" si="21"/>
        <v>Debt 9</v>
      </c>
      <c r="C68" s="87"/>
      <c r="D68" s="87"/>
      <c r="E68" s="138">
        <v>1</v>
      </c>
      <c r="F68" s="28">
        <f>MIN(E131-F45,F54*D60-F60-F61-F62-F63-F64-F65-F66-F67)*E68</f>
        <v>0</v>
      </c>
      <c r="G68" s="28">
        <f>MIN(F131-G45,G54*D60-G60-G61-G62-G63-G64-G65-G66-G67)*E68</f>
        <v>0</v>
      </c>
      <c r="H68" s="28">
        <f>MIN(G131-H45,H54*D60-H60-H61-H62-H63-H64-H65-H66-H67)*E68</f>
        <v>0</v>
      </c>
      <c r="I68" s="28">
        <f>MIN(H131-I45,I54*D60-I60-I61-I62-I63-I64-I65-I66-I67)*E68</f>
        <v>0</v>
      </c>
      <c r="J68" s="28">
        <f>MIN(I131-J45,J54*D60-J60-J61-J62-J63-J64-J65-J66-J67)*E68</f>
        <v>0</v>
      </c>
      <c r="K68" s="28">
        <f>MIN(J131-K45,K54*D60-K60-K61-K62-K63-K64-K65-K66-K67)*E68</f>
        <v>0</v>
      </c>
      <c r="L68" s="28">
        <f>MIN(K131-L45,L54*D60-L60-L61-L62-L63-L64-L65-L66-L67)*E68</f>
        <v>0</v>
      </c>
      <c r="M68" s="28">
        <f>MIN(L131-M45,M54*D60-M60-M61-M62-M63-M64-M65-M66-M67)*E68</f>
        <v>0</v>
      </c>
      <c r="N68" s="28">
        <f>MIN(M131-N45,N54*D60-N60-N61-N62-N63-N64-N65-N66-N67)*E68</f>
        <v>0</v>
      </c>
      <c r="O68" s="28">
        <f>MIN(N131-O45,O54*D60-O60-O61-O62-O63-O64-O65-O66-O67)*E68</f>
        <v>0</v>
      </c>
    </row>
    <row r="69" spans="2:15">
      <c r="B69" s="83" t="s">
        <v>93</v>
      </c>
      <c r="C69" s="87"/>
      <c r="D69" s="87"/>
      <c r="E69" s="87"/>
      <c r="F69" s="139">
        <f t="shared" ref="F69:O69" si="22">SUM(F60:F68)</f>
        <v>115680</v>
      </c>
      <c r="G69" s="139">
        <f t="shared" si="22"/>
        <v>0</v>
      </c>
      <c r="H69" s="139">
        <f t="shared" si="22"/>
        <v>0</v>
      </c>
      <c r="I69" s="139">
        <f t="shared" si="22"/>
        <v>0</v>
      </c>
      <c r="J69" s="139">
        <f t="shared" si="22"/>
        <v>0</v>
      </c>
      <c r="K69" s="139">
        <f t="shared" si="22"/>
        <v>0</v>
      </c>
      <c r="L69" s="139">
        <f t="shared" si="22"/>
        <v>0</v>
      </c>
      <c r="M69" s="139">
        <f t="shared" si="22"/>
        <v>0</v>
      </c>
      <c r="N69" s="139">
        <f t="shared" si="22"/>
        <v>0</v>
      </c>
      <c r="O69" s="139">
        <f t="shared" si="22"/>
        <v>0</v>
      </c>
    </row>
    <row r="70" spans="2:15">
      <c r="B70" s="87"/>
      <c r="C70" s="87"/>
      <c r="D70" s="87"/>
      <c r="E70" s="87"/>
      <c r="F70" s="87"/>
      <c r="G70" s="87"/>
      <c r="H70" s="87"/>
      <c r="I70" s="87"/>
      <c r="J70" s="87"/>
      <c r="K70" s="87"/>
      <c r="L70" s="87"/>
      <c r="M70" s="87"/>
      <c r="N70" s="87"/>
      <c r="O70" s="87"/>
    </row>
    <row r="71" spans="2:15">
      <c r="B71" s="36" t="s">
        <v>94</v>
      </c>
      <c r="C71" s="23"/>
      <c r="D71" s="23"/>
      <c r="E71" s="23"/>
      <c r="F71" s="23"/>
      <c r="G71" s="23"/>
      <c r="H71" s="23"/>
      <c r="I71" s="23"/>
      <c r="J71" s="23"/>
      <c r="K71" s="23"/>
      <c r="L71" s="23"/>
      <c r="M71" s="23"/>
      <c r="N71" s="23"/>
      <c r="O71" s="23"/>
    </row>
    <row r="72" spans="2:15" ht="3" customHeight="1">
      <c r="B72" s="87"/>
      <c r="C72" s="87"/>
      <c r="D72" s="87"/>
      <c r="E72" s="87"/>
      <c r="F72" s="87"/>
      <c r="G72" s="87"/>
      <c r="H72" s="87"/>
      <c r="I72" s="87"/>
      <c r="J72" s="87"/>
      <c r="K72" s="87"/>
      <c r="L72" s="87"/>
      <c r="M72" s="87"/>
      <c r="N72" s="87"/>
      <c r="O72" s="87"/>
    </row>
    <row r="73" spans="2:15">
      <c r="B73" s="87"/>
      <c r="C73" s="38" t="s">
        <v>95</v>
      </c>
      <c r="D73" s="140" t="s">
        <v>96</v>
      </c>
      <c r="E73" s="87"/>
      <c r="F73" s="134">
        <f t="shared" ref="F73:O73" si="23">F5</f>
        <v>2018</v>
      </c>
      <c r="G73" s="134">
        <f t="shared" si="23"/>
        <v>2019</v>
      </c>
      <c r="H73" s="134">
        <f t="shared" si="23"/>
        <v>2020</v>
      </c>
      <c r="I73" s="134">
        <f t="shared" si="23"/>
        <v>2021</v>
      </c>
      <c r="J73" s="134">
        <f t="shared" si="23"/>
        <v>2022</v>
      </c>
      <c r="K73" s="134">
        <f t="shared" si="23"/>
        <v>2023</v>
      </c>
      <c r="L73" s="134">
        <f t="shared" si="23"/>
        <v>2024</v>
      </c>
      <c r="M73" s="134">
        <f t="shared" si="23"/>
        <v>2025</v>
      </c>
      <c r="N73" s="134">
        <f t="shared" si="23"/>
        <v>2026</v>
      </c>
      <c r="O73" s="134">
        <f t="shared" si="23"/>
        <v>2027</v>
      </c>
    </row>
    <row r="74" spans="2:15" ht="3" customHeight="1">
      <c r="B74" s="87"/>
      <c r="C74" s="87"/>
      <c r="D74" s="87"/>
      <c r="E74" s="87"/>
      <c r="F74" s="87"/>
      <c r="G74" s="87"/>
      <c r="H74" s="87"/>
      <c r="I74" s="87"/>
      <c r="J74" s="87"/>
      <c r="K74" s="87"/>
      <c r="L74" s="87"/>
      <c r="M74" s="87"/>
      <c r="N74" s="87"/>
      <c r="O74" s="87"/>
    </row>
    <row r="75" spans="2:15">
      <c r="B75" s="87" t="s">
        <v>97</v>
      </c>
      <c r="C75" s="87" t="s">
        <v>32</v>
      </c>
      <c r="D75" s="87" t="s">
        <v>32</v>
      </c>
      <c r="E75" s="87"/>
      <c r="F75" s="141">
        <v>2.5999999999999999E-3</v>
      </c>
      <c r="G75" s="141">
        <v>4.4999999999999997E-3</v>
      </c>
      <c r="H75" s="141">
        <v>8.2000000000000007E-3</v>
      </c>
      <c r="I75" s="141">
        <v>1.2500000000000001E-2</v>
      </c>
      <c r="J75" s="141">
        <v>1.6400000000000001E-2</v>
      </c>
      <c r="K75" s="141">
        <v>1.7999999999999999E-2</v>
      </c>
      <c r="L75" s="141">
        <v>0.02</v>
      </c>
      <c r="M75" s="141">
        <v>2.4899999999999999E-2</v>
      </c>
      <c r="N75" s="141">
        <v>2.6700000000000002E-2</v>
      </c>
      <c r="O75" s="141">
        <v>2.8000000000000001E-2</v>
      </c>
    </row>
    <row r="76" spans="2:15">
      <c r="B76" s="87" t="s">
        <v>98</v>
      </c>
      <c r="C76" s="142">
        <v>0</v>
      </c>
      <c r="D76" s="143">
        <v>0.01</v>
      </c>
      <c r="E76" s="87"/>
      <c r="F76" s="113">
        <f>IF(D86=1,-1*AVERAGE(F103,E103)*(F75*C76+D76),0)</f>
        <v>0</v>
      </c>
      <c r="G76" s="113">
        <f>IF(D86=1,-1*AVERAGE(G103,F103)*(G75*C76+D76),0)</f>
        <v>0</v>
      </c>
      <c r="H76" s="113">
        <f>IF(D86=1,-1*AVERAGE(H103,G103)*(H75*C76+D76),0)</f>
        <v>0</v>
      </c>
      <c r="I76" s="113">
        <f>IF(D86=1,-1*AVERAGE(I103,H103)*(I75*C76+D76),0)</f>
        <v>0</v>
      </c>
      <c r="J76" s="113">
        <f>IF(D86=1,-1*AVERAGE(J103,I103)*(J75*C76+D76),0)</f>
        <v>0</v>
      </c>
      <c r="K76" s="113">
        <f>IF(D86=1,-1*AVERAGE(K103,J103)*(K75*C76+D76),0)</f>
        <v>0</v>
      </c>
      <c r="L76" s="113">
        <f>IF(D86=1,-1*AVERAGE(L103,K103)*(L75*C76+D76),0)</f>
        <v>0</v>
      </c>
      <c r="M76" s="113">
        <f>IF(D86=1,-1*AVERAGE(M103,L103)*(M75*C76+D76),0)</f>
        <v>0</v>
      </c>
      <c r="N76" s="113">
        <f>IF(D86=1,-1*AVERAGE(N103,M103)*(N75*C76+D76),0)</f>
        <v>0</v>
      </c>
      <c r="O76" s="113">
        <f>IF(D86=1,-1*AVERAGE(O103,N103)*(O75*C76+D76),0)</f>
        <v>0</v>
      </c>
    </row>
    <row r="77" spans="2:15">
      <c r="B77" s="87" t="str">
        <f t="shared" ref="B77:B85" si="24">B37</f>
        <v>Debt 1</v>
      </c>
      <c r="C77" s="144">
        <v>1</v>
      </c>
      <c r="D77" s="145">
        <v>0.01</v>
      </c>
      <c r="E77" s="87"/>
      <c r="F77" s="28">
        <f>IF(D86=1,AVERAGE(F123,E123)*(F75*C77+D77),0)</f>
        <v>0</v>
      </c>
      <c r="G77" s="28">
        <f>IF(D86=1,AVERAGE(G123,F123)*(G75*C77+D77),0)</f>
        <v>0</v>
      </c>
      <c r="H77" s="28">
        <f>IF(D86=1,AVERAGE(H123,G123)*(H75*C77+D77),0)</f>
        <v>0</v>
      </c>
      <c r="I77" s="28">
        <f>IF(D86=1,AVERAGE(I123,H123)*(I75*C77+D77),0)</f>
        <v>0</v>
      </c>
      <c r="J77" s="28">
        <f>IF(D86=1,AVERAGE(J123,I123)*(J75*C77+D77),0)</f>
        <v>0</v>
      </c>
      <c r="K77" s="28">
        <f>IF(D86=1,AVERAGE(K123,J123)*(K75*C77+D77),0)</f>
        <v>0</v>
      </c>
      <c r="L77" s="28">
        <f>IF(D86=1,AVERAGE(L123,K123)*(L75*C77+D77),0)</f>
        <v>0</v>
      </c>
      <c r="M77" s="28">
        <f>IF(D86=1,AVERAGE(M123,L123)*(M75*C77+D77),0)</f>
        <v>0</v>
      </c>
      <c r="N77" s="28">
        <f>IF(D86=1,AVERAGE(N123,M123)*(N75*C77+D77),0)</f>
        <v>0</v>
      </c>
      <c r="O77" s="28">
        <f>IF(D86=1,AVERAGE(O123,N123)*(O75*C77+D77),0)</f>
        <v>0</v>
      </c>
    </row>
    <row r="78" spans="2:15">
      <c r="B78" s="87" t="str">
        <f t="shared" si="24"/>
        <v>Debt 2</v>
      </c>
      <c r="C78" s="144">
        <v>1</v>
      </c>
      <c r="D78" s="145">
        <v>0.01</v>
      </c>
      <c r="E78" s="87"/>
      <c r="F78" s="28">
        <f>IF(D86=1,AVERAGE(F124,E124)*(F75*C78+D78),0)</f>
        <v>0</v>
      </c>
      <c r="G78" s="28">
        <f>IF(D86=1,AVERAGE(G124,F124)*(G75*C78+D78),0)</f>
        <v>0</v>
      </c>
      <c r="H78" s="28">
        <f>IF(D86=1,AVERAGE(H124,G124)*(H75*C78+D78),0)</f>
        <v>0</v>
      </c>
      <c r="I78" s="28">
        <f>IF(D86=1,AVERAGE(I124,H124)*(I75*C78+D78),0)</f>
        <v>0</v>
      </c>
      <c r="J78" s="28">
        <f>IF(D86=1,AVERAGE(J124,I124)*(J75*C78+D78),0)</f>
        <v>0</v>
      </c>
      <c r="K78" s="28">
        <f>IF(D86=1,AVERAGE(K124,J124)*(K75*C78+D78),0)</f>
        <v>0</v>
      </c>
      <c r="L78" s="28">
        <f>IF(D86=1,AVERAGE(L124,K124)*(L75*C78+D78),0)</f>
        <v>0</v>
      </c>
      <c r="M78" s="28">
        <f>IF(D86=1,AVERAGE(M124,L124)*(M75*C78+D78),0)</f>
        <v>0</v>
      </c>
      <c r="N78" s="28">
        <f>IF(D86=1,AVERAGE(N124,M124)*(N75*C78+D78),0)</f>
        <v>0</v>
      </c>
      <c r="O78" s="28">
        <f>IF(D86=1,AVERAGE(O124,N124)*(O75*C78+D78),0)</f>
        <v>0</v>
      </c>
    </row>
    <row r="79" spans="2:15">
      <c r="B79" s="87" t="str">
        <f t="shared" si="24"/>
        <v>Debt 3</v>
      </c>
      <c r="C79" s="144">
        <v>1</v>
      </c>
      <c r="D79" s="145">
        <v>0.01</v>
      </c>
      <c r="E79" s="87"/>
      <c r="F79" s="28">
        <f>IF(D86=1,AVERAGE(F125,E125)*(F75*C79+D79),0)</f>
        <v>0</v>
      </c>
      <c r="G79" s="28">
        <f>IF(D86=1,AVERAGE(G125,F125)*(G75*C79+D79),0)</f>
        <v>0</v>
      </c>
      <c r="H79" s="28">
        <f>IF(D86=1,AVERAGE(H125,G125)*(H75*C79+D79),0)</f>
        <v>0</v>
      </c>
      <c r="I79" s="28">
        <f>IF(D86=1,AVERAGE(I125,H125)*(I75*C79+D79),0)</f>
        <v>0</v>
      </c>
      <c r="J79" s="28">
        <f>IF(D86=1,AVERAGE(J125,I125)*(J75*C79+D79),0)</f>
        <v>0</v>
      </c>
      <c r="K79" s="28">
        <f>IF(D86=1,AVERAGE(K125,J125)*(K75*C79+D79),0)</f>
        <v>0</v>
      </c>
      <c r="L79" s="28">
        <f>IF(D86=1,AVERAGE(L125,K125)*(L75*C79+D79),0)</f>
        <v>0</v>
      </c>
      <c r="M79" s="28">
        <f>IF(D86=1,AVERAGE(M125,L125)*(M75*C79+D79),0)</f>
        <v>0</v>
      </c>
      <c r="N79" s="28">
        <f>IF(D86=1,AVERAGE(N125,M125)*(N75*C79+D79),0)</f>
        <v>0</v>
      </c>
      <c r="O79" s="28">
        <f>IF(D86=1,AVERAGE(O125,N125)*(O75*C79+D79),0)</f>
        <v>0</v>
      </c>
    </row>
    <row r="80" spans="2:15">
      <c r="B80" s="87" t="str">
        <f t="shared" si="24"/>
        <v>Debt 4</v>
      </c>
      <c r="C80" s="144">
        <v>1</v>
      </c>
      <c r="D80" s="145">
        <v>0.01</v>
      </c>
      <c r="E80" s="87"/>
      <c r="F80" s="28">
        <f>IF(D86=1,AVERAGE(F126,E126)*(F75*C80+D80),0)</f>
        <v>0</v>
      </c>
      <c r="G80" s="28">
        <f>IF(D86=1,AVERAGE(G126,F126)*(G75*C80+D80),0)</f>
        <v>0</v>
      </c>
      <c r="H80" s="28">
        <f>IF(D86=1,AVERAGE(H126,G126)*(H75*C80+D80),0)</f>
        <v>0</v>
      </c>
      <c r="I80" s="28">
        <f>IF(D86=1,AVERAGE(I126,H126)*(I75*C80+D80),0)</f>
        <v>0</v>
      </c>
      <c r="J80" s="28">
        <f>IF(D86=1,AVERAGE(J126,I126)*(J75*C80+D80),0)</f>
        <v>0</v>
      </c>
      <c r="K80" s="28">
        <f>IF(D86=1,AVERAGE(K126,J126)*(K75*C80+D80),0)</f>
        <v>0</v>
      </c>
      <c r="L80" s="28">
        <f>IF(D86=1,AVERAGE(L126,K126)*(L75*C80+D80),0)</f>
        <v>0</v>
      </c>
      <c r="M80" s="28">
        <f>IF(D86=1,AVERAGE(M126,L126)*(M75*C80+D80),0)</f>
        <v>0</v>
      </c>
      <c r="N80" s="28">
        <f>IF(D86=1,AVERAGE(N126,M126)*(N75*C80+D80),0)</f>
        <v>0</v>
      </c>
      <c r="O80" s="28">
        <f>IF(D86=1,AVERAGE(O126,N126)*(O75*C80+D80),0)</f>
        <v>0</v>
      </c>
    </row>
    <row r="81" spans="2:15">
      <c r="B81" s="87" t="str">
        <f t="shared" si="24"/>
        <v>Debt 5</v>
      </c>
      <c r="C81" s="144">
        <v>1</v>
      </c>
      <c r="D81" s="145">
        <v>0.01</v>
      </c>
      <c r="E81" s="87"/>
      <c r="F81" s="28">
        <f>IF(D86=1,AVERAGE(F127,E127)*(F75*C81+D81),0)</f>
        <v>0</v>
      </c>
      <c r="G81" s="28">
        <f>IF(D86=1,AVERAGE(G127,F127)*(G75*C81+D81),0)</f>
        <v>0</v>
      </c>
      <c r="H81" s="28">
        <f>IF(D86=1,AVERAGE(H127,G127)*(H75*C81+D81),0)</f>
        <v>0</v>
      </c>
      <c r="I81" s="28">
        <f>IF(D86=1,AVERAGE(I127,H127)*(I75*C81+D81),0)</f>
        <v>0</v>
      </c>
      <c r="J81" s="28">
        <f>IF(D86=1,AVERAGE(J127,I127)*(J75*C81+D81),0)</f>
        <v>0</v>
      </c>
      <c r="K81" s="28">
        <f>IF(D86=1,AVERAGE(K127,J127)*(K75*C81+D81),0)</f>
        <v>0</v>
      </c>
      <c r="L81" s="28">
        <f>IF(D86=1,AVERAGE(L127,K127)*(L75*C81+D81),0)</f>
        <v>0</v>
      </c>
      <c r="M81" s="28">
        <f>IF(D86=1,AVERAGE(M127,L127)*(M75*C81+D81),0)</f>
        <v>0</v>
      </c>
      <c r="N81" s="28">
        <f>IF(D86=1,AVERAGE(N127,M127)*(N75*C81+D81),0)</f>
        <v>0</v>
      </c>
      <c r="O81" s="28">
        <f>IF(D86=1,AVERAGE(O127,N127)*(O75*C81+D81),0)</f>
        <v>0</v>
      </c>
    </row>
    <row r="82" spans="2:15">
      <c r="B82" s="87" t="str">
        <f t="shared" si="24"/>
        <v>Debt 6</v>
      </c>
      <c r="C82" s="144">
        <v>1</v>
      </c>
      <c r="D82" s="145">
        <v>0.01</v>
      </c>
      <c r="E82" s="87"/>
      <c r="F82" s="28">
        <f>IF(D86=1,AVERAGE(F128,E128)*(F75*C82+D82),0)</f>
        <v>0</v>
      </c>
      <c r="G82" s="28">
        <f>IF(D86=1,AVERAGE(G128,F128)*(G75*C82+D82),0)</f>
        <v>0</v>
      </c>
      <c r="H82" s="28">
        <f>IF(D86=1,AVERAGE(H128,G128)*(H75*C82+D82),0)</f>
        <v>0</v>
      </c>
      <c r="I82" s="28">
        <f>IF(D86=1,AVERAGE(I128,H128)*(I75*C82+D82),0)</f>
        <v>0</v>
      </c>
      <c r="J82" s="28">
        <f>IF(D86=1,AVERAGE(J128,I128)*(J75*C82+D82),0)</f>
        <v>0</v>
      </c>
      <c r="K82" s="28">
        <f>IF(D86=1,AVERAGE(K128,J128)*(K75*C82+D82),0)</f>
        <v>0</v>
      </c>
      <c r="L82" s="28">
        <f>IF(D86=1,AVERAGE(L128,K128)*(L75*C82+D82),0)</f>
        <v>0</v>
      </c>
      <c r="M82" s="28">
        <f>IF(D86=1,AVERAGE(M128,L128)*(M75*C82+D82),0)</f>
        <v>0</v>
      </c>
      <c r="N82" s="28">
        <f>IF(D86=1,AVERAGE(N128,M128)*(N75*C82+D82),0)</f>
        <v>0</v>
      </c>
      <c r="O82" s="28">
        <f>IF(D86=1,AVERAGE(O128,N128)*(O75*C82+D82),0)</f>
        <v>0</v>
      </c>
    </row>
    <row r="83" spans="2:15">
      <c r="B83" s="87" t="str">
        <f t="shared" si="24"/>
        <v>Debt 7</v>
      </c>
      <c r="C83" s="144">
        <v>1</v>
      </c>
      <c r="D83" s="145">
        <v>0.01</v>
      </c>
      <c r="E83" s="87"/>
      <c r="F83" s="28">
        <f>IF(D86=1,AVERAGE(F129,E129)*(F75*C83+D83),0)</f>
        <v>0</v>
      </c>
      <c r="G83" s="28">
        <f>IF(D86=1,AVERAGE(G129,F129)*(G75*C83+D83),0)</f>
        <v>0</v>
      </c>
      <c r="H83" s="28">
        <f>IF(D86=1,AVERAGE(H129,G129)*(H75*C83+D83),0)</f>
        <v>0</v>
      </c>
      <c r="I83" s="28">
        <f>IF(D86=1,AVERAGE(I129,H129)*(I75*C83+D83),0)</f>
        <v>0</v>
      </c>
      <c r="J83" s="28">
        <f>IF(D86=1,AVERAGE(J129,I129)*(J75*C83+D83),0)</f>
        <v>0</v>
      </c>
      <c r="K83" s="28">
        <f>IF(D86=1,AVERAGE(K129,J129)*(K75*C83+D83),0)</f>
        <v>0</v>
      </c>
      <c r="L83" s="28">
        <f>IF(D86=1,AVERAGE(L129,K129)*(L75*C83+D83),0)</f>
        <v>0</v>
      </c>
      <c r="M83" s="28">
        <f>IF(D86=1,AVERAGE(M129,L129)*(M75*C83+D83),0)</f>
        <v>0</v>
      </c>
      <c r="N83" s="28">
        <f>IF(D86=1,AVERAGE(N129,M129)*(N75*C83+D83),0)</f>
        <v>0</v>
      </c>
      <c r="O83" s="28">
        <f>IF(D86=1,AVERAGE(O129,N129)*(O75*C83+D83),0)</f>
        <v>0</v>
      </c>
    </row>
    <row r="84" spans="2:15">
      <c r="B84" s="87" t="str">
        <f t="shared" si="24"/>
        <v>Debt 8</v>
      </c>
      <c r="C84" s="144">
        <v>1</v>
      </c>
      <c r="D84" s="145">
        <v>0.01</v>
      </c>
      <c r="E84" s="87"/>
      <c r="F84" s="28">
        <f>IF(D86=1,AVERAGE(F130,E130)*(F75*C84+D84),0)</f>
        <v>0</v>
      </c>
      <c r="G84" s="28">
        <f>IF(D86=1,AVERAGE(G130,F130)*(G75*C84+D84),0)</f>
        <v>0</v>
      </c>
      <c r="H84" s="28">
        <f>IF(D86=1,AVERAGE(H130,G130)*(H75*C84+D84),0)</f>
        <v>0</v>
      </c>
      <c r="I84" s="28">
        <f>IF(D86=1,AVERAGE(I130,H130)*(I75*C84+D84),0)</f>
        <v>0</v>
      </c>
      <c r="J84" s="28">
        <f>IF(D86=1,AVERAGE(J130,I130)*(J75*C84+D84),0)</f>
        <v>0</v>
      </c>
      <c r="K84" s="28">
        <f>IF(D86=1,AVERAGE(K130,J130)*(K75*C84+D84),0)</f>
        <v>0</v>
      </c>
      <c r="L84" s="28">
        <f>IF(D86=1,AVERAGE(L130,K130)*(L75*C84+D84),0)</f>
        <v>0</v>
      </c>
      <c r="M84" s="28">
        <f>IF(D86=1,AVERAGE(M130,L130)*(M75*C84+D84),0)</f>
        <v>0</v>
      </c>
      <c r="N84" s="28">
        <f>IF(D86=1,AVERAGE(N130,M130)*(N75*C84+D84),0)</f>
        <v>0</v>
      </c>
      <c r="O84" s="28">
        <f>IF(D86=1,AVERAGE(O130,N130)*(O75*C84+D84),0)</f>
        <v>0</v>
      </c>
    </row>
    <row r="85" spans="2:15">
      <c r="B85" s="87" t="str">
        <f t="shared" si="24"/>
        <v>Debt 9</v>
      </c>
      <c r="C85" s="144">
        <v>1</v>
      </c>
      <c r="D85" s="145">
        <v>0.01</v>
      </c>
      <c r="E85" s="87"/>
      <c r="F85" s="28">
        <f>IF(D86=1,AVERAGE(F131,E131)*(F75*C85+D85),0)</f>
        <v>0</v>
      </c>
      <c r="G85" s="28">
        <f>IF(D86=1,AVERAGE(G131,F131)*(G75*C85+D85),0)</f>
        <v>0</v>
      </c>
      <c r="H85" s="28">
        <f>IF(D86=1,AVERAGE(H131,G131)*(H75*C85+D85),0)</f>
        <v>0</v>
      </c>
      <c r="I85" s="28">
        <f>IF(D86=1,AVERAGE(I131,H131)*(I75*C85+D85),0)</f>
        <v>0</v>
      </c>
      <c r="J85" s="28">
        <f>IF(D86=1,AVERAGE(J131,I131)*(J75*C85+D85),0)</f>
        <v>0</v>
      </c>
      <c r="K85" s="28">
        <f>IF(D86=1,AVERAGE(K131,J131)*(K75*C85+D85),0)</f>
        <v>0</v>
      </c>
      <c r="L85" s="28">
        <f>IF(D86=1,AVERAGE(L131,K131)*(L75*C85+D85),0)</f>
        <v>0</v>
      </c>
      <c r="M85" s="28">
        <f>IF(D86=1,AVERAGE(M131,L131)*(M75*C85+D85),0)</f>
        <v>0</v>
      </c>
      <c r="N85" s="28">
        <f>IF(D86=1,AVERAGE(N131,M131)*(N75*C85+D85),0)</f>
        <v>0</v>
      </c>
      <c r="O85" s="28">
        <f>IF(D86=1,AVERAGE(O131,N131)*(O75*C85+D85),0)</f>
        <v>0</v>
      </c>
    </row>
    <row r="86" spans="2:15">
      <c r="B86" s="87" t="s">
        <v>99</v>
      </c>
      <c r="C86" s="87" t="s">
        <v>100</v>
      </c>
      <c r="D86" s="146">
        <v>0</v>
      </c>
      <c r="E86" s="87"/>
      <c r="F86" s="121">
        <f t="shared" ref="F86:O86" si="25">SUM(F76:F85)</f>
        <v>0</v>
      </c>
      <c r="G86" s="121">
        <f t="shared" si="25"/>
        <v>0</v>
      </c>
      <c r="H86" s="121">
        <f t="shared" si="25"/>
        <v>0</v>
      </c>
      <c r="I86" s="121">
        <f t="shared" si="25"/>
        <v>0</v>
      </c>
      <c r="J86" s="121">
        <f t="shared" si="25"/>
        <v>0</v>
      </c>
      <c r="K86" s="121">
        <f t="shared" si="25"/>
        <v>0</v>
      </c>
      <c r="L86" s="121">
        <f t="shared" si="25"/>
        <v>0</v>
      </c>
      <c r="M86" s="121">
        <f t="shared" si="25"/>
        <v>0</v>
      </c>
      <c r="N86" s="121">
        <f t="shared" si="25"/>
        <v>0</v>
      </c>
      <c r="O86" s="121">
        <f t="shared" si="25"/>
        <v>0</v>
      </c>
    </row>
    <row r="87" spans="2:15">
      <c r="B87" s="87"/>
      <c r="C87" s="87"/>
      <c r="D87" s="87"/>
      <c r="E87" s="87"/>
      <c r="F87" s="87"/>
      <c r="G87" s="87"/>
      <c r="H87" s="87"/>
      <c r="I87" s="87"/>
      <c r="J87" s="87"/>
      <c r="K87" s="87"/>
      <c r="L87" s="87"/>
      <c r="M87" s="87"/>
      <c r="N87" s="87"/>
      <c r="O87" s="87"/>
    </row>
    <row r="88" spans="2:15">
      <c r="B88" s="36" t="s">
        <v>101</v>
      </c>
      <c r="C88" s="23"/>
      <c r="D88" s="23"/>
      <c r="E88" s="23"/>
      <c r="F88" s="23"/>
      <c r="G88" s="23"/>
      <c r="H88" s="23"/>
      <c r="I88" s="23"/>
      <c r="J88" s="23"/>
      <c r="K88" s="23"/>
      <c r="L88" s="23"/>
      <c r="M88" s="23"/>
      <c r="N88" s="23"/>
      <c r="O88" s="23"/>
    </row>
    <row r="89" spans="2:15" ht="3" customHeight="1">
      <c r="B89" s="87"/>
      <c r="C89" s="87"/>
      <c r="D89" s="87"/>
      <c r="E89" s="87"/>
      <c r="F89" s="87"/>
      <c r="G89" s="87"/>
      <c r="H89" s="87"/>
      <c r="I89" s="87"/>
      <c r="J89" s="87"/>
      <c r="K89" s="87"/>
      <c r="L89" s="87"/>
      <c r="M89" s="87"/>
      <c r="N89" s="87"/>
      <c r="O89" s="87"/>
    </row>
    <row r="90" spans="2:15">
      <c r="B90" s="87"/>
      <c r="C90" s="87"/>
      <c r="D90" s="87"/>
      <c r="E90" s="87"/>
      <c r="F90" s="134">
        <f t="shared" ref="F90:O90" si="26">F5</f>
        <v>2018</v>
      </c>
      <c r="G90" s="134">
        <f t="shared" si="26"/>
        <v>2019</v>
      </c>
      <c r="H90" s="134">
        <f t="shared" si="26"/>
        <v>2020</v>
      </c>
      <c r="I90" s="134">
        <f t="shared" si="26"/>
        <v>2021</v>
      </c>
      <c r="J90" s="134">
        <f t="shared" si="26"/>
        <v>2022</v>
      </c>
      <c r="K90" s="134">
        <f t="shared" si="26"/>
        <v>2023</v>
      </c>
      <c r="L90" s="134">
        <f t="shared" si="26"/>
        <v>2024</v>
      </c>
      <c r="M90" s="134">
        <f t="shared" si="26"/>
        <v>2025</v>
      </c>
      <c r="N90" s="134">
        <f t="shared" si="26"/>
        <v>2026</v>
      </c>
      <c r="O90" s="134">
        <f t="shared" si="26"/>
        <v>2027</v>
      </c>
    </row>
    <row r="91" spans="2:15" ht="3" customHeight="1">
      <c r="B91" s="87"/>
      <c r="C91" s="87"/>
      <c r="D91" s="87"/>
      <c r="E91" s="87"/>
      <c r="F91" s="87"/>
      <c r="G91" s="87"/>
      <c r="H91" s="87"/>
      <c r="I91" s="87"/>
      <c r="J91" s="87"/>
      <c r="K91" s="87"/>
      <c r="L91" s="87"/>
      <c r="M91" s="87"/>
      <c r="N91" s="87"/>
      <c r="O91" s="87"/>
    </row>
    <row r="92" spans="2:15">
      <c r="B92" s="87" t="s">
        <v>15</v>
      </c>
      <c r="C92" s="87"/>
      <c r="D92" s="87"/>
      <c r="E92" s="87"/>
      <c r="F92" s="123">
        <f>IS!H23</f>
        <v>65211.443644238752</v>
      </c>
      <c r="G92" s="123">
        <f>IS!I23</f>
        <v>69322.710976879986</v>
      </c>
      <c r="H92" s="123">
        <f>IS!J23</f>
        <v>73693.173906733515</v>
      </c>
      <c r="I92" s="123">
        <f>IS!K23</f>
        <v>78339.173467397573</v>
      </c>
      <c r="J92" s="123">
        <f>IS!L23</f>
        <v>83278.080915907689</v>
      </c>
      <c r="K92" s="123">
        <f>IS!M23</f>
        <v>88528.362683360494</v>
      </c>
      <c r="L92" s="123">
        <f>IS!N23</f>
        <v>94109.649420362082</v>
      </c>
      <c r="M92" s="123">
        <f>IS!O23</f>
        <v>100042.80939545855</v>
      </c>
      <c r="N92" s="123">
        <f>IS!P23</f>
        <v>106350.02652098431</v>
      </c>
      <c r="O92" s="123">
        <f>IS!Q23</f>
        <v>113054.88329806441</v>
      </c>
    </row>
    <row r="93" spans="2:15">
      <c r="B93" s="87" t="s">
        <v>102</v>
      </c>
      <c r="C93" s="87"/>
      <c r="D93" s="87"/>
      <c r="E93" s="87"/>
      <c r="F93" s="28">
        <f>F86-IS!H41</f>
        <v>0</v>
      </c>
      <c r="G93" s="28">
        <f>G86-IS!I41</f>
        <v>0</v>
      </c>
      <c r="H93" s="28">
        <f>H86-IS!J41</f>
        <v>0</v>
      </c>
      <c r="I93" s="28">
        <f>I86-IS!K41</f>
        <v>0</v>
      </c>
      <c r="J93" s="28">
        <f>J86-IS!L41</f>
        <v>0</v>
      </c>
      <c r="K93" s="28">
        <f>K86-IS!M41</f>
        <v>0</v>
      </c>
      <c r="L93" s="28">
        <f>L86-IS!N41</f>
        <v>0</v>
      </c>
      <c r="M93" s="28">
        <f>M86-IS!O41</f>
        <v>0</v>
      </c>
      <c r="N93" s="28">
        <f>N86-IS!P41</f>
        <v>0</v>
      </c>
      <c r="O93" s="28">
        <f>O86-IS!Q41</f>
        <v>0</v>
      </c>
    </row>
    <row r="94" spans="2:15">
      <c r="B94" s="87" t="s">
        <v>76</v>
      </c>
      <c r="C94" s="87"/>
      <c r="D94" s="87"/>
      <c r="E94" s="87"/>
      <c r="F94" s="124">
        <f>IS!H33</f>
        <v>-2918.0590245734766</v>
      </c>
      <c r="G94" s="124">
        <f>IS!I33</f>
        <v>-3102.0285868468891</v>
      </c>
      <c r="H94" s="124">
        <f>IS!J33</f>
        <v>-3297.596543655181</v>
      </c>
      <c r="I94" s="124">
        <f>IS!K33</f>
        <v>-3505.4941178926433</v>
      </c>
      <c r="J94" s="124">
        <f>IS!L33</f>
        <v>-3726.4986325340133</v>
      </c>
      <c r="K94" s="124">
        <f>IS!M33</f>
        <v>-3961.4364170224394</v>
      </c>
      <c r="L94" s="124">
        <f>IS!N33</f>
        <v>-4211.185896891202</v>
      </c>
      <c r="M94" s="124">
        <f>IS!O33</f>
        <v>-4476.6808781711925</v>
      </c>
      <c r="N94" s="124">
        <f>IS!P33</f>
        <v>-4758.9140388644682</v>
      </c>
      <c r="O94" s="124">
        <f>IS!Q33</f>
        <v>-5058.940640538387</v>
      </c>
    </row>
    <row r="95" spans="2:15">
      <c r="B95" s="87" t="s">
        <v>23</v>
      </c>
      <c r="C95" s="87"/>
      <c r="D95" s="87"/>
      <c r="E95" s="87"/>
      <c r="F95" s="121">
        <f t="shared" ref="F95:O95" si="27">F92-F93-F94</f>
        <v>68129.502668812231</v>
      </c>
      <c r="G95" s="121">
        <f t="shared" si="27"/>
        <v>72424.739563726878</v>
      </c>
      <c r="H95" s="121">
        <f t="shared" si="27"/>
        <v>76990.770450388693</v>
      </c>
      <c r="I95" s="121">
        <f t="shared" si="27"/>
        <v>81844.667585290212</v>
      </c>
      <c r="J95" s="121">
        <f t="shared" si="27"/>
        <v>87004.579548441703</v>
      </c>
      <c r="K95" s="121">
        <f t="shared" si="27"/>
        <v>92489.799100382937</v>
      </c>
      <c r="L95" s="121">
        <f t="shared" si="27"/>
        <v>98320.835317253281</v>
      </c>
      <c r="M95" s="121">
        <f t="shared" si="27"/>
        <v>104519.49027362974</v>
      </c>
      <c r="N95" s="121">
        <f t="shared" si="27"/>
        <v>111108.94055984878</v>
      </c>
      <c r="O95" s="121">
        <f t="shared" si="27"/>
        <v>118113.8239386028</v>
      </c>
    </row>
    <row r="96" spans="2:15">
      <c r="B96" s="87" t="s">
        <v>79</v>
      </c>
      <c r="C96" s="87"/>
      <c r="D96" s="87"/>
      <c r="E96" s="87"/>
      <c r="F96" s="124">
        <f>IS!H38</f>
        <v>16730.20507422127</v>
      </c>
      <c r="G96" s="124">
        <f>IS!I38</f>
        <v>17784.963897922164</v>
      </c>
      <c r="H96" s="124">
        <f>IS!J38</f>
        <v>18906.220183623045</v>
      </c>
      <c r="I96" s="124">
        <f>IS!K38</f>
        <v>20098.166275917822</v>
      </c>
      <c r="J96" s="124">
        <f>IS!L38</f>
        <v>21365.258826528352</v>
      </c>
      <c r="K96" s="124">
        <f>IS!M38</f>
        <v>22712.235457595325</v>
      </c>
      <c r="L96" s="124">
        <f>IS!N38</f>
        <v>24144.132475509559</v>
      </c>
      <c r="M96" s="124">
        <f>IS!O38</f>
        <v>25666.303701514844</v>
      </c>
      <c r="N96" s="124">
        <f>IS!P38</f>
        <v>27284.440489489618</v>
      </c>
      <c r="O96" s="124">
        <f>IS!Q38</f>
        <v>29004.593005753421</v>
      </c>
    </row>
    <row r="97" spans="2:15">
      <c r="B97" s="87" t="s">
        <v>27</v>
      </c>
      <c r="C97" s="87"/>
      <c r="D97" s="87"/>
      <c r="E97" s="87"/>
      <c r="F97" s="121">
        <f t="shared" ref="F97:O97" si="28">F95-F96</f>
        <v>51399.297594590957</v>
      </c>
      <c r="G97" s="121">
        <f t="shared" si="28"/>
        <v>54639.775665804715</v>
      </c>
      <c r="H97" s="121">
        <f t="shared" si="28"/>
        <v>58084.550266765647</v>
      </c>
      <c r="I97" s="121">
        <f t="shared" si="28"/>
        <v>61746.50130937239</v>
      </c>
      <c r="J97" s="121">
        <f t="shared" si="28"/>
        <v>65639.320721913347</v>
      </c>
      <c r="K97" s="121">
        <f t="shared" si="28"/>
        <v>69777.563642787616</v>
      </c>
      <c r="L97" s="121">
        <f t="shared" si="28"/>
        <v>74176.702841743725</v>
      </c>
      <c r="M97" s="121">
        <f t="shared" si="28"/>
        <v>78853.186572114893</v>
      </c>
      <c r="N97" s="121">
        <f t="shared" si="28"/>
        <v>83824.500070359165</v>
      </c>
      <c r="O97" s="121">
        <f t="shared" si="28"/>
        <v>89109.230932849372</v>
      </c>
    </row>
    <row r="98" spans="2:15">
      <c r="B98" s="87"/>
      <c r="C98" s="87"/>
      <c r="D98" s="87"/>
      <c r="E98" s="87"/>
      <c r="F98" s="87"/>
      <c r="G98" s="87"/>
      <c r="H98" s="87"/>
      <c r="I98" s="87"/>
      <c r="J98" s="87"/>
      <c r="K98" s="87"/>
      <c r="L98" s="87"/>
      <c r="M98" s="87"/>
      <c r="N98" s="87"/>
      <c r="O98" s="87"/>
    </row>
    <row r="99" spans="2:15">
      <c r="B99" s="36" t="s">
        <v>103</v>
      </c>
      <c r="C99" s="23"/>
      <c r="D99" s="23"/>
      <c r="E99" s="23"/>
      <c r="F99" s="23"/>
      <c r="G99" s="23"/>
      <c r="H99" s="23"/>
      <c r="I99" s="23"/>
      <c r="J99" s="23"/>
      <c r="K99" s="23"/>
      <c r="L99" s="23"/>
      <c r="M99" s="23"/>
      <c r="N99" s="23"/>
      <c r="O99" s="23"/>
    </row>
    <row r="100" spans="2:15" ht="3" customHeight="1">
      <c r="B100" s="87"/>
      <c r="C100" s="87"/>
      <c r="D100" s="87"/>
      <c r="E100" s="87"/>
      <c r="F100" s="87"/>
      <c r="G100" s="87"/>
      <c r="H100" s="87"/>
      <c r="I100" s="87"/>
      <c r="J100" s="87"/>
      <c r="K100" s="87"/>
      <c r="L100" s="87"/>
      <c r="M100" s="87"/>
      <c r="N100" s="87"/>
      <c r="O100" s="87"/>
    </row>
    <row r="101" spans="2:15">
      <c r="B101" s="87"/>
      <c r="C101" s="38" t="s">
        <v>104</v>
      </c>
      <c r="D101" s="40" t="s">
        <v>105</v>
      </c>
      <c r="E101" s="38" t="s">
        <v>106</v>
      </c>
      <c r="F101" s="134">
        <f t="shared" ref="F101:O101" si="29">F5</f>
        <v>2018</v>
      </c>
      <c r="G101" s="134">
        <f t="shared" si="29"/>
        <v>2019</v>
      </c>
      <c r="H101" s="134">
        <f t="shared" si="29"/>
        <v>2020</v>
      </c>
      <c r="I101" s="134">
        <f t="shared" si="29"/>
        <v>2021</v>
      </c>
      <c r="J101" s="134">
        <f t="shared" si="29"/>
        <v>2022</v>
      </c>
      <c r="K101" s="134">
        <f t="shared" si="29"/>
        <v>2023</v>
      </c>
      <c r="L101" s="134">
        <f t="shared" si="29"/>
        <v>2024</v>
      </c>
      <c r="M101" s="134">
        <f t="shared" si="29"/>
        <v>2025</v>
      </c>
      <c r="N101" s="134">
        <f t="shared" si="29"/>
        <v>2026</v>
      </c>
      <c r="O101" s="134">
        <f t="shared" si="29"/>
        <v>2027</v>
      </c>
    </row>
    <row r="102" spans="2:15" ht="3" customHeight="1">
      <c r="B102" s="87"/>
      <c r="C102" s="87"/>
      <c r="D102" s="87"/>
      <c r="E102" s="87"/>
      <c r="F102" s="87"/>
      <c r="G102" s="87"/>
      <c r="H102" s="87"/>
      <c r="I102" s="87"/>
      <c r="J102" s="87"/>
      <c r="K102" s="87"/>
      <c r="L102" s="87"/>
      <c r="M102" s="87"/>
      <c r="N102" s="87"/>
      <c r="O102" s="87"/>
    </row>
    <row r="103" spans="2:15">
      <c r="B103" s="87" t="s">
        <v>30</v>
      </c>
      <c r="C103" s="123">
        <f>BS!E10</f>
        <v>268895</v>
      </c>
      <c r="D103" s="87"/>
      <c r="E103" s="113">
        <f>C103+D103</f>
        <v>268895</v>
      </c>
      <c r="F103" s="113">
        <f t="shared" ref="F103:O103" si="30">E103+F52-F69</f>
        <v>203567.49494293705</v>
      </c>
      <c r="G103" s="113">
        <f t="shared" si="30"/>
        <v>257094.47209340252</v>
      </c>
      <c r="H103" s="113">
        <f t="shared" si="30"/>
        <v>313996.06725990673</v>
      </c>
      <c r="I103" s="113">
        <f t="shared" si="30"/>
        <v>374485.03384943097</v>
      </c>
      <c r="J103" s="113">
        <f t="shared" si="30"/>
        <v>438787.53834621963</v>
      </c>
      <c r="K103" s="113">
        <f t="shared" si="30"/>
        <v>507144.00594167708</v>
      </c>
      <c r="L103" s="113">
        <f t="shared" si="30"/>
        <v>579810.01947715576</v>
      </c>
      <c r="M103" s="113">
        <f t="shared" si="30"/>
        <v>657057.27506075578</v>
      </c>
      <c r="N103" s="113">
        <f t="shared" si="30"/>
        <v>739174.59793115943</v>
      </c>
      <c r="O103" s="113">
        <f t="shared" si="30"/>
        <v>826469.02236678603</v>
      </c>
    </row>
    <row r="104" spans="2:15">
      <c r="B104" s="87"/>
      <c r="C104" s="87"/>
      <c r="D104" s="87"/>
      <c r="E104" s="87"/>
      <c r="F104" s="87"/>
      <c r="G104" s="87"/>
      <c r="H104" s="87"/>
      <c r="I104" s="87"/>
      <c r="J104" s="87"/>
      <c r="K104" s="87"/>
      <c r="L104" s="87"/>
      <c r="M104" s="87"/>
      <c r="N104" s="87"/>
      <c r="O104" s="87"/>
    </row>
    <row r="105" spans="2:15">
      <c r="B105" s="87" t="s">
        <v>35</v>
      </c>
      <c r="C105" s="123">
        <f>WC!E15</f>
        <v>54464</v>
      </c>
      <c r="D105" s="87"/>
      <c r="E105" s="113">
        <f>C105+D105</f>
        <v>54464</v>
      </c>
      <c r="F105" s="123">
        <f>WC!F15</f>
        <v>57897.692792120157</v>
      </c>
      <c r="G105" s="123">
        <f>WC!G15</f>
        <v>61547.863371230953</v>
      </c>
      <c r="H105" s="123">
        <f>WC!H15</f>
        <v>65428.159618810852</v>
      </c>
      <c r="I105" s="123">
        <f>WC!I15</f>
        <v>69553.089849509997</v>
      </c>
      <c r="J105" s="123">
        <f>WC!J15</f>
        <v>73938.077057316026</v>
      </c>
      <c r="K105" s="123">
        <f>WC!K15</f>
        <v>78599.516581679462</v>
      </c>
      <c r="L105" s="123">
        <f>WC!L15</f>
        <v>83554.837409210362</v>
      </c>
      <c r="M105" s="123">
        <f>WC!M15</f>
        <v>88822.567340151494</v>
      </c>
      <c r="N105" s="123">
        <f>WC!N15</f>
        <v>94422.402263283933</v>
      </c>
      <c r="O105" s="123">
        <f>WC!O15</f>
        <v>100375.2797982815</v>
      </c>
    </row>
    <row r="106" spans="2:15">
      <c r="B106" s="87"/>
      <c r="C106" s="87"/>
      <c r="D106" s="87"/>
      <c r="E106" s="87"/>
      <c r="F106" s="87"/>
      <c r="G106" s="87"/>
      <c r="H106" s="87"/>
      <c r="I106" s="87"/>
      <c r="J106" s="87"/>
      <c r="K106" s="87"/>
      <c r="L106" s="87"/>
      <c r="M106" s="87"/>
      <c r="N106" s="87"/>
      <c r="O106" s="87"/>
    </row>
    <row r="107" spans="2:15">
      <c r="B107" s="87" t="s">
        <v>41</v>
      </c>
      <c r="C107" s="87"/>
      <c r="D107" s="87"/>
      <c r="E107" s="87"/>
      <c r="F107" s="87"/>
      <c r="G107" s="87"/>
      <c r="H107" s="87"/>
      <c r="I107" s="87"/>
      <c r="J107" s="87"/>
      <c r="K107" s="87"/>
      <c r="L107" s="87"/>
      <c r="M107" s="87"/>
      <c r="N107" s="87"/>
      <c r="O107" s="87"/>
    </row>
    <row r="108" spans="2:15">
      <c r="B108" s="83" t="str">
        <f>BS!C20</f>
        <v>PP&amp;E, net</v>
      </c>
      <c r="C108" s="123">
        <f>BS!E20</f>
        <v>33783</v>
      </c>
      <c r="D108" s="87"/>
      <c r="E108" s="113">
        <f t="shared" ref="E108:E112" si="31">C108+D108</f>
        <v>33783</v>
      </c>
      <c r="F108" s="113">
        <f t="shared" ref="F108:O108" si="32">E108-F16-F9</f>
        <v>36587.313190100125</v>
      </c>
      <c r="G108" s="113">
        <f>F108-G16-G9</f>
        <v>39568.424815638224</v>
      </c>
      <c r="H108" s="113">
        <f t="shared" si="32"/>
        <v>42737.481166152742</v>
      </c>
      <c r="I108" s="113">
        <f t="shared" si="32"/>
        <v>46106.33125103463</v>
      </c>
      <c r="J108" s="113">
        <f t="shared" si="32"/>
        <v>49687.571102628339</v>
      </c>
      <c r="K108" s="113">
        <f t="shared" si="32"/>
        <v>53494.590872429864</v>
      </c>
      <c r="L108" s="113">
        <f t="shared" si="32"/>
        <v>57541.624896473208</v>
      </c>
      <c r="M108" s="113">
        <f t="shared" si="32"/>
        <v>61843.804917098198</v>
      </c>
      <c r="N108" s="113">
        <f t="shared" si="32"/>
        <v>66417.21666009436</v>
      </c>
      <c r="O108" s="113">
        <f t="shared" si="32"/>
        <v>71278.959978761122</v>
      </c>
    </row>
    <row r="109" spans="2:15">
      <c r="B109" s="83" t="str">
        <f>BS!C21</f>
        <v>Goodwill</v>
      </c>
      <c r="C109" s="124">
        <f>BS!E21</f>
        <v>5717</v>
      </c>
      <c r="D109" s="87"/>
      <c r="E109" s="28">
        <f t="shared" si="31"/>
        <v>5717</v>
      </c>
      <c r="F109" s="28">
        <f t="shared" ref="F109:O109" si="33">E109</f>
        <v>5717</v>
      </c>
      <c r="G109" s="28">
        <f t="shared" si="33"/>
        <v>5717</v>
      </c>
      <c r="H109" s="28">
        <f t="shared" si="33"/>
        <v>5717</v>
      </c>
      <c r="I109" s="28">
        <f t="shared" si="33"/>
        <v>5717</v>
      </c>
      <c r="J109" s="28">
        <f t="shared" si="33"/>
        <v>5717</v>
      </c>
      <c r="K109" s="28">
        <f t="shared" si="33"/>
        <v>5717</v>
      </c>
      <c r="L109" s="28">
        <f t="shared" si="33"/>
        <v>5717</v>
      </c>
      <c r="M109" s="28">
        <f t="shared" si="33"/>
        <v>5717</v>
      </c>
      <c r="N109" s="28">
        <f t="shared" si="33"/>
        <v>5717</v>
      </c>
      <c r="O109" s="28">
        <f t="shared" si="33"/>
        <v>5717</v>
      </c>
    </row>
    <row r="110" spans="2:15">
      <c r="B110" s="83" t="str">
        <f>BS!C22</f>
        <v>Long Term Investments</v>
      </c>
      <c r="C110" s="124">
        <f>BS!E22</f>
        <v>0</v>
      </c>
      <c r="D110" s="87"/>
      <c r="E110" s="28">
        <f t="shared" si="31"/>
        <v>0</v>
      </c>
      <c r="F110" s="28">
        <f t="shared" ref="F110:O110" si="34">E110</f>
        <v>0</v>
      </c>
      <c r="G110" s="28">
        <f t="shared" si="34"/>
        <v>0</v>
      </c>
      <c r="H110" s="28">
        <f t="shared" si="34"/>
        <v>0</v>
      </c>
      <c r="I110" s="28">
        <f t="shared" si="34"/>
        <v>0</v>
      </c>
      <c r="J110" s="28">
        <f t="shared" si="34"/>
        <v>0</v>
      </c>
      <c r="K110" s="28">
        <f t="shared" si="34"/>
        <v>0</v>
      </c>
      <c r="L110" s="28">
        <f t="shared" si="34"/>
        <v>0</v>
      </c>
      <c r="M110" s="28">
        <f t="shared" si="34"/>
        <v>0</v>
      </c>
      <c r="N110" s="28">
        <f t="shared" si="34"/>
        <v>0</v>
      </c>
      <c r="O110" s="28">
        <f t="shared" si="34"/>
        <v>0</v>
      </c>
    </row>
    <row r="111" spans="2:15">
      <c r="B111" s="83" t="str">
        <f>BS!C23</f>
        <v>Intangible Assets</v>
      </c>
      <c r="C111" s="124">
        <f>BS!E23</f>
        <v>2298</v>
      </c>
      <c r="D111" s="87"/>
      <c r="E111" s="28">
        <f t="shared" si="31"/>
        <v>2298</v>
      </c>
      <c r="F111" s="28">
        <f t="shared" ref="F111:O111" si="35">E111</f>
        <v>2298</v>
      </c>
      <c r="G111" s="28">
        <f t="shared" si="35"/>
        <v>2298</v>
      </c>
      <c r="H111" s="28">
        <f t="shared" si="35"/>
        <v>2298</v>
      </c>
      <c r="I111" s="28">
        <f t="shared" si="35"/>
        <v>2298</v>
      </c>
      <c r="J111" s="28">
        <f t="shared" si="35"/>
        <v>2298</v>
      </c>
      <c r="K111" s="28">
        <f t="shared" si="35"/>
        <v>2298</v>
      </c>
      <c r="L111" s="28">
        <f t="shared" si="35"/>
        <v>2298</v>
      </c>
      <c r="M111" s="28">
        <f t="shared" si="35"/>
        <v>2298</v>
      </c>
      <c r="N111" s="28">
        <f t="shared" si="35"/>
        <v>2298</v>
      </c>
      <c r="O111" s="28">
        <f t="shared" si="35"/>
        <v>2298</v>
      </c>
    </row>
    <row r="112" spans="2:15" s="37" customFormat="1">
      <c r="B112" s="83" t="str">
        <f>BS!C24</f>
        <v>Other Assets</v>
      </c>
      <c r="C112" s="124">
        <f>BS!E24</f>
        <v>10162</v>
      </c>
      <c r="D112" s="87"/>
      <c r="E112" s="28">
        <f t="shared" si="31"/>
        <v>10162</v>
      </c>
      <c r="F112" s="28">
        <f t="shared" ref="F112:O112" si="36">E112</f>
        <v>10162</v>
      </c>
      <c r="G112" s="28">
        <f t="shared" si="36"/>
        <v>10162</v>
      </c>
      <c r="H112" s="28">
        <f t="shared" si="36"/>
        <v>10162</v>
      </c>
      <c r="I112" s="28">
        <f t="shared" si="36"/>
        <v>10162</v>
      </c>
      <c r="J112" s="28">
        <f t="shared" si="36"/>
        <v>10162</v>
      </c>
      <c r="K112" s="28">
        <f t="shared" si="36"/>
        <v>10162</v>
      </c>
      <c r="L112" s="28">
        <f t="shared" si="36"/>
        <v>10162</v>
      </c>
      <c r="M112" s="28">
        <f t="shared" si="36"/>
        <v>10162</v>
      </c>
      <c r="N112" s="28">
        <f t="shared" si="36"/>
        <v>10162</v>
      </c>
      <c r="O112" s="28">
        <f t="shared" si="36"/>
        <v>10162</v>
      </c>
    </row>
    <row r="113" spans="2:15">
      <c r="B113" s="87" t="s">
        <v>48</v>
      </c>
      <c r="C113" s="121">
        <f>SUM(C103:C112)</f>
        <v>375319</v>
      </c>
      <c r="D113" s="87"/>
      <c r="E113" s="121">
        <f t="shared" ref="E113:O113" si="37">SUM(E103:E112)</f>
        <v>375319</v>
      </c>
      <c r="F113" s="121">
        <f t="shared" si="37"/>
        <v>316229.50092515734</v>
      </c>
      <c r="G113" s="121">
        <f t="shared" si="37"/>
        <v>376387.7602802717</v>
      </c>
      <c r="H113" s="121">
        <f t="shared" si="37"/>
        <v>440338.70804487035</v>
      </c>
      <c r="I113" s="121">
        <f t="shared" si="37"/>
        <v>508321.4549499756</v>
      </c>
      <c r="J113" s="121">
        <f t="shared" si="37"/>
        <v>580590.18650616403</v>
      </c>
      <c r="K113" s="121">
        <f t="shared" si="37"/>
        <v>657415.11339578649</v>
      </c>
      <c r="L113" s="121">
        <f t="shared" si="37"/>
        <v>739083.4817828394</v>
      </c>
      <c r="M113" s="121">
        <f t="shared" si="37"/>
        <v>825900.64731800556</v>
      </c>
      <c r="N113" s="121">
        <f t="shared" si="37"/>
        <v>918191.21685453772</v>
      </c>
      <c r="O113" s="121">
        <f t="shared" si="37"/>
        <v>1016300.2621438287</v>
      </c>
    </row>
    <row r="114" spans="2:15">
      <c r="B114" s="87"/>
      <c r="C114" s="87"/>
      <c r="D114" s="87"/>
      <c r="E114" s="87"/>
      <c r="F114" s="87"/>
      <c r="G114" s="87"/>
      <c r="H114" s="87"/>
      <c r="I114" s="87"/>
      <c r="J114" s="87"/>
      <c r="K114" s="87"/>
      <c r="L114" s="87"/>
      <c r="M114" s="87"/>
      <c r="N114" s="87"/>
      <c r="O114" s="87"/>
    </row>
    <row r="115" spans="2:15">
      <c r="B115" s="87" t="s">
        <v>107</v>
      </c>
      <c r="C115" s="123">
        <f>WC!E20</f>
        <v>82341</v>
      </c>
      <c r="D115" s="87"/>
      <c r="E115" s="113">
        <f>C115+D115</f>
        <v>82341</v>
      </c>
      <c r="F115" s="123">
        <f>WC!F20</f>
        <v>87532.20333056635</v>
      </c>
      <c r="G115" s="123">
        <f>WC!G20</f>
        <v>93050.68701987603</v>
      </c>
      <c r="H115" s="123">
        <f>WC!H20</f>
        <v>98917.084517709038</v>
      </c>
      <c r="I115" s="123">
        <f>WC!I20</f>
        <v>105153.33011344195</v>
      </c>
      <c r="J115" s="123">
        <f>WC!J20</f>
        <v>111782.74094771701</v>
      </c>
      <c r="K115" s="123">
        <f>WC!K20</f>
        <v>118830.10419455179</v>
      </c>
      <c r="L115" s="123">
        <f>WC!L20</f>
        <v>126321.76973986102</v>
      </c>
      <c r="M115" s="123">
        <f>WC!M20</f>
        <v>134285.74870291224</v>
      </c>
      <c r="N115" s="123">
        <f>WC!N20</f>
        <v>142751.81816908531</v>
      </c>
      <c r="O115" s="123">
        <f>WC!O20</f>
        <v>151751.63252552689</v>
      </c>
    </row>
    <row r="116" spans="2:15">
      <c r="B116" s="87"/>
      <c r="C116" s="87"/>
      <c r="D116" s="87"/>
      <c r="E116" s="87"/>
      <c r="F116" s="87"/>
      <c r="G116" s="87"/>
      <c r="H116" s="87"/>
      <c r="I116" s="87"/>
      <c r="J116" s="87"/>
      <c r="K116" s="87"/>
      <c r="L116" s="87"/>
      <c r="M116" s="87"/>
      <c r="N116" s="87"/>
      <c r="O116" s="87"/>
    </row>
    <row r="117" spans="2:15">
      <c r="B117" s="87" t="s">
        <v>108</v>
      </c>
      <c r="C117" s="87"/>
      <c r="D117" s="87"/>
      <c r="E117" s="87"/>
      <c r="F117" s="87"/>
      <c r="G117" s="87"/>
      <c r="H117" s="87"/>
      <c r="I117" s="87"/>
      <c r="J117" s="87"/>
      <c r="K117" s="87"/>
      <c r="L117" s="87"/>
      <c r="M117" s="87"/>
      <c r="N117" s="87"/>
      <c r="O117" s="87"/>
    </row>
    <row r="118" spans="2:15">
      <c r="B118" s="83" t="str">
        <f>BS!C47</f>
        <v>Other Liabilities</v>
      </c>
      <c r="C118" s="123">
        <f>BS!E47</f>
        <v>40415</v>
      </c>
      <c r="D118" s="87"/>
      <c r="E118" s="113">
        <f>C118+D118</f>
        <v>40415</v>
      </c>
      <c r="F118" s="113">
        <f t="shared" ref="F118:O118" si="38">E118</f>
        <v>40415</v>
      </c>
      <c r="G118" s="113">
        <f t="shared" si="38"/>
        <v>40415</v>
      </c>
      <c r="H118" s="113">
        <f t="shared" si="38"/>
        <v>40415</v>
      </c>
      <c r="I118" s="113">
        <f t="shared" si="38"/>
        <v>40415</v>
      </c>
      <c r="J118" s="113">
        <f t="shared" si="38"/>
        <v>40415</v>
      </c>
      <c r="K118" s="113">
        <f t="shared" si="38"/>
        <v>40415</v>
      </c>
      <c r="L118" s="113">
        <f t="shared" si="38"/>
        <v>40415</v>
      </c>
      <c r="M118" s="113">
        <f t="shared" si="38"/>
        <v>40415</v>
      </c>
      <c r="N118" s="113">
        <f t="shared" si="38"/>
        <v>40415</v>
      </c>
      <c r="O118" s="113">
        <f t="shared" si="38"/>
        <v>40415</v>
      </c>
    </row>
    <row r="119" spans="2:15">
      <c r="B119" s="83" t="str">
        <f>BS!C48</f>
        <v>Deferred Long Term Liability Charges</v>
      </c>
      <c r="C119" s="124">
        <f>BS!E48</f>
        <v>2836</v>
      </c>
      <c r="D119" s="87"/>
      <c r="E119" s="28">
        <f>C119+D119</f>
        <v>2836</v>
      </c>
      <c r="F119" s="28">
        <f t="shared" ref="F119:O119" si="39">E119</f>
        <v>2836</v>
      </c>
      <c r="G119" s="28">
        <f t="shared" si="39"/>
        <v>2836</v>
      </c>
      <c r="H119" s="28">
        <f t="shared" si="39"/>
        <v>2836</v>
      </c>
      <c r="I119" s="28">
        <f t="shared" si="39"/>
        <v>2836</v>
      </c>
      <c r="J119" s="28">
        <f t="shared" si="39"/>
        <v>2836</v>
      </c>
      <c r="K119" s="28">
        <f t="shared" si="39"/>
        <v>2836</v>
      </c>
      <c r="L119" s="28">
        <f t="shared" si="39"/>
        <v>2836</v>
      </c>
      <c r="M119" s="28">
        <f t="shared" si="39"/>
        <v>2836</v>
      </c>
      <c r="N119" s="28">
        <f t="shared" si="39"/>
        <v>2836</v>
      </c>
      <c r="O119" s="28">
        <f t="shared" si="39"/>
        <v>2836</v>
      </c>
    </row>
    <row r="120" spans="2:15">
      <c r="B120" s="83" t="str">
        <f>BS!C49</f>
        <v>Minority Interest</v>
      </c>
      <c r="C120" s="124">
        <f>BS!E49</f>
        <v>0</v>
      </c>
      <c r="D120" s="87"/>
      <c r="E120" s="28">
        <f>C120+D120</f>
        <v>0</v>
      </c>
      <c r="F120" s="28">
        <f t="shared" ref="F120:O120" si="40">E120</f>
        <v>0</v>
      </c>
      <c r="G120" s="28">
        <f t="shared" si="40"/>
        <v>0</v>
      </c>
      <c r="H120" s="28">
        <f t="shared" si="40"/>
        <v>0</v>
      </c>
      <c r="I120" s="28">
        <f t="shared" si="40"/>
        <v>0</v>
      </c>
      <c r="J120" s="28">
        <f t="shared" si="40"/>
        <v>0</v>
      </c>
      <c r="K120" s="28">
        <f t="shared" si="40"/>
        <v>0</v>
      </c>
      <c r="L120" s="28">
        <f t="shared" si="40"/>
        <v>0</v>
      </c>
      <c r="M120" s="28">
        <f t="shared" si="40"/>
        <v>0</v>
      </c>
      <c r="N120" s="28">
        <f t="shared" si="40"/>
        <v>0</v>
      </c>
      <c r="O120" s="28">
        <f t="shared" si="40"/>
        <v>0</v>
      </c>
    </row>
    <row r="121" spans="2:15">
      <c r="B121" s="87"/>
      <c r="C121" s="87"/>
      <c r="D121" s="87"/>
      <c r="E121" s="87"/>
      <c r="F121" s="87"/>
      <c r="G121" s="87"/>
      <c r="H121" s="87"/>
      <c r="I121" s="87"/>
      <c r="J121" s="87"/>
      <c r="K121" s="87"/>
      <c r="L121" s="87"/>
      <c r="M121" s="87"/>
      <c r="N121" s="87"/>
      <c r="O121" s="87"/>
    </row>
    <row r="122" spans="2:15">
      <c r="B122" s="87" t="s">
        <v>109</v>
      </c>
      <c r="C122" s="87"/>
      <c r="D122" s="87"/>
      <c r="E122" s="87"/>
      <c r="F122" s="87"/>
      <c r="G122" s="87"/>
      <c r="H122" s="87"/>
      <c r="I122" s="87"/>
      <c r="J122" s="87"/>
      <c r="K122" s="87"/>
      <c r="L122" s="87"/>
      <c r="M122" s="87"/>
      <c r="N122" s="87"/>
      <c r="O122" s="87"/>
    </row>
    <row r="123" spans="2:15">
      <c r="B123" s="83" t="str">
        <f t="shared" ref="B123:B131" si="41">B37</f>
        <v>Debt 1</v>
      </c>
      <c r="C123" s="113">
        <f>BS!E35</f>
        <v>115680</v>
      </c>
      <c r="D123" s="87"/>
      <c r="E123" s="113">
        <f t="shared" ref="E123:E131" si="42">C123+D123</f>
        <v>115680</v>
      </c>
      <c r="F123" s="113">
        <f t="shared" ref="F123:O123" si="43">E123-F37-F60</f>
        <v>0</v>
      </c>
      <c r="G123" s="113">
        <f t="shared" si="43"/>
        <v>0</v>
      </c>
      <c r="H123" s="113">
        <f t="shared" si="43"/>
        <v>0</v>
      </c>
      <c r="I123" s="113">
        <f t="shared" si="43"/>
        <v>0</v>
      </c>
      <c r="J123" s="113">
        <f t="shared" si="43"/>
        <v>0</v>
      </c>
      <c r="K123" s="113">
        <f t="shared" si="43"/>
        <v>0</v>
      </c>
      <c r="L123" s="113">
        <f t="shared" si="43"/>
        <v>0</v>
      </c>
      <c r="M123" s="113">
        <f t="shared" si="43"/>
        <v>0</v>
      </c>
      <c r="N123" s="113">
        <f t="shared" si="43"/>
        <v>0</v>
      </c>
      <c r="O123" s="113">
        <f t="shared" si="43"/>
        <v>0</v>
      </c>
    </row>
    <row r="124" spans="2:15">
      <c r="B124" s="83" t="str">
        <f t="shared" si="41"/>
        <v>Debt 2</v>
      </c>
      <c r="C124" s="28">
        <f>BS!E36</f>
        <v>0</v>
      </c>
      <c r="D124" s="87"/>
      <c r="E124" s="28">
        <f t="shared" si="42"/>
        <v>0</v>
      </c>
      <c r="F124" s="28">
        <f t="shared" ref="F124:O124" si="44">E124-F38-F61</f>
        <v>0</v>
      </c>
      <c r="G124" s="28">
        <f t="shared" si="44"/>
        <v>0</v>
      </c>
      <c r="H124" s="28">
        <f t="shared" si="44"/>
        <v>0</v>
      </c>
      <c r="I124" s="28">
        <f t="shared" si="44"/>
        <v>0</v>
      </c>
      <c r="J124" s="28">
        <f t="shared" si="44"/>
        <v>0</v>
      </c>
      <c r="K124" s="28">
        <f t="shared" si="44"/>
        <v>0</v>
      </c>
      <c r="L124" s="28">
        <f t="shared" si="44"/>
        <v>0</v>
      </c>
      <c r="M124" s="28">
        <f t="shared" si="44"/>
        <v>0</v>
      </c>
      <c r="N124" s="28">
        <f t="shared" si="44"/>
        <v>0</v>
      </c>
      <c r="O124" s="28">
        <f t="shared" si="44"/>
        <v>0</v>
      </c>
    </row>
    <row r="125" spans="2:15">
      <c r="B125" s="83" t="str">
        <f t="shared" si="41"/>
        <v>Debt 3</v>
      </c>
      <c r="C125" s="28">
        <f>BS!E37</f>
        <v>0</v>
      </c>
      <c r="D125" s="87"/>
      <c r="E125" s="28">
        <f t="shared" si="42"/>
        <v>0</v>
      </c>
      <c r="F125" s="28">
        <f t="shared" ref="F125:O125" si="45">E125-F39-F62</f>
        <v>0</v>
      </c>
      <c r="G125" s="28">
        <f t="shared" si="45"/>
        <v>0</v>
      </c>
      <c r="H125" s="28">
        <f t="shared" si="45"/>
        <v>0</v>
      </c>
      <c r="I125" s="28">
        <f t="shared" si="45"/>
        <v>0</v>
      </c>
      <c r="J125" s="28">
        <f t="shared" si="45"/>
        <v>0</v>
      </c>
      <c r="K125" s="28">
        <f t="shared" si="45"/>
        <v>0</v>
      </c>
      <c r="L125" s="28">
        <f t="shared" si="45"/>
        <v>0</v>
      </c>
      <c r="M125" s="28">
        <f t="shared" si="45"/>
        <v>0</v>
      </c>
      <c r="N125" s="28">
        <f t="shared" si="45"/>
        <v>0</v>
      </c>
      <c r="O125" s="28">
        <f t="shared" si="45"/>
        <v>0</v>
      </c>
    </row>
    <row r="126" spans="2:15">
      <c r="B126" s="83" t="str">
        <f t="shared" si="41"/>
        <v>Debt 4</v>
      </c>
      <c r="C126" s="28">
        <f>BS!E38</f>
        <v>0</v>
      </c>
      <c r="D126" s="87"/>
      <c r="E126" s="28">
        <f t="shared" si="42"/>
        <v>0</v>
      </c>
      <c r="F126" s="28">
        <f t="shared" ref="F126:O126" si="46">E126-F40-F63</f>
        <v>0</v>
      </c>
      <c r="G126" s="28">
        <f t="shared" si="46"/>
        <v>0</v>
      </c>
      <c r="H126" s="28">
        <f t="shared" si="46"/>
        <v>0</v>
      </c>
      <c r="I126" s="28">
        <f t="shared" si="46"/>
        <v>0</v>
      </c>
      <c r="J126" s="28">
        <f t="shared" si="46"/>
        <v>0</v>
      </c>
      <c r="K126" s="28">
        <f t="shared" si="46"/>
        <v>0</v>
      </c>
      <c r="L126" s="28">
        <f t="shared" si="46"/>
        <v>0</v>
      </c>
      <c r="M126" s="28">
        <f t="shared" si="46"/>
        <v>0</v>
      </c>
      <c r="N126" s="28">
        <f t="shared" si="46"/>
        <v>0</v>
      </c>
      <c r="O126" s="28">
        <f t="shared" si="46"/>
        <v>0</v>
      </c>
    </row>
    <row r="127" spans="2:15">
      <c r="B127" s="83" t="str">
        <f t="shared" si="41"/>
        <v>Debt 5</v>
      </c>
      <c r="C127" s="28">
        <f>BS!E39</f>
        <v>0</v>
      </c>
      <c r="D127" s="87"/>
      <c r="E127" s="28">
        <f t="shared" si="42"/>
        <v>0</v>
      </c>
      <c r="F127" s="28">
        <f t="shared" ref="F127:O127" si="47">E127-F41-F64</f>
        <v>0</v>
      </c>
      <c r="G127" s="28">
        <f t="shared" si="47"/>
        <v>0</v>
      </c>
      <c r="H127" s="28">
        <f t="shared" si="47"/>
        <v>0</v>
      </c>
      <c r="I127" s="28">
        <f t="shared" si="47"/>
        <v>0</v>
      </c>
      <c r="J127" s="28">
        <f t="shared" si="47"/>
        <v>0</v>
      </c>
      <c r="K127" s="28">
        <f t="shared" si="47"/>
        <v>0</v>
      </c>
      <c r="L127" s="28">
        <f t="shared" si="47"/>
        <v>0</v>
      </c>
      <c r="M127" s="28">
        <f t="shared" si="47"/>
        <v>0</v>
      </c>
      <c r="N127" s="28">
        <f t="shared" si="47"/>
        <v>0</v>
      </c>
      <c r="O127" s="28">
        <f t="shared" si="47"/>
        <v>0</v>
      </c>
    </row>
    <row r="128" spans="2:15">
      <c r="B128" s="83" t="str">
        <f t="shared" si="41"/>
        <v>Debt 6</v>
      </c>
      <c r="C128" s="28">
        <f>BS!E40</f>
        <v>0</v>
      </c>
      <c r="D128" s="87"/>
      <c r="E128" s="28">
        <f t="shared" si="42"/>
        <v>0</v>
      </c>
      <c r="F128" s="28">
        <f t="shared" ref="F128:O128" si="48">E128-F42-F65</f>
        <v>0</v>
      </c>
      <c r="G128" s="28">
        <f t="shared" si="48"/>
        <v>0</v>
      </c>
      <c r="H128" s="28">
        <f t="shared" si="48"/>
        <v>0</v>
      </c>
      <c r="I128" s="28">
        <f t="shared" si="48"/>
        <v>0</v>
      </c>
      <c r="J128" s="28">
        <f t="shared" si="48"/>
        <v>0</v>
      </c>
      <c r="K128" s="28">
        <f t="shared" si="48"/>
        <v>0</v>
      </c>
      <c r="L128" s="28">
        <f t="shared" si="48"/>
        <v>0</v>
      </c>
      <c r="M128" s="28">
        <f t="shared" si="48"/>
        <v>0</v>
      </c>
      <c r="N128" s="28">
        <f t="shared" si="48"/>
        <v>0</v>
      </c>
      <c r="O128" s="28">
        <f t="shared" si="48"/>
        <v>0</v>
      </c>
    </row>
    <row r="129" spans="2:15">
      <c r="B129" s="83" t="str">
        <f t="shared" si="41"/>
        <v>Debt 7</v>
      </c>
      <c r="C129" s="28">
        <f>BS!E41</f>
        <v>0</v>
      </c>
      <c r="D129" s="87"/>
      <c r="E129" s="28">
        <f t="shared" si="42"/>
        <v>0</v>
      </c>
      <c r="F129" s="28">
        <f t="shared" ref="F129:O129" si="49">E129-F43-F66</f>
        <v>0</v>
      </c>
      <c r="G129" s="28">
        <f t="shared" si="49"/>
        <v>0</v>
      </c>
      <c r="H129" s="28">
        <f t="shared" si="49"/>
        <v>0</v>
      </c>
      <c r="I129" s="28">
        <f t="shared" si="49"/>
        <v>0</v>
      </c>
      <c r="J129" s="28">
        <f t="shared" si="49"/>
        <v>0</v>
      </c>
      <c r="K129" s="28">
        <f t="shared" si="49"/>
        <v>0</v>
      </c>
      <c r="L129" s="28">
        <f t="shared" si="49"/>
        <v>0</v>
      </c>
      <c r="M129" s="28">
        <f t="shared" si="49"/>
        <v>0</v>
      </c>
      <c r="N129" s="28">
        <f t="shared" si="49"/>
        <v>0</v>
      </c>
      <c r="O129" s="28">
        <f t="shared" si="49"/>
        <v>0</v>
      </c>
    </row>
    <row r="130" spans="2:15">
      <c r="B130" s="83" t="str">
        <f t="shared" si="41"/>
        <v>Debt 8</v>
      </c>
      <c r="C130" s="28">
        <f>BS!E42</f>
        <v>0</v>
      </c>
      <c r="D130" s="87"/>
      <c r="E130" s="28">
        <f t="shared" si="42"/>
        <v>0</v>
      </c>
      <c r="F130" s="28">
        <f t="shared" ref="F130:O130" si="50">E130-F44-F67</f>
        <v>0</v>
      </c>
      <c r="G130" s="28">
        <f t="shared" si="50"/>
        <v>0</v>
      </c>
      <c r="H130" s="28">
        <f t="shared" si="50"/>
        <v>0</v>
      </c>
      <c r="I130" s="28">
        <f t="shared" si="50"/>
        <v>0</v>
      </c>
      <c r="J130" s="28">
        <f t="shared" si="50"/>
        <v>0</v>
      </c>
      <c r="K130" s="28">
        <f t="shared" si="50"/>
        <v>0</v>
      </c>
      <c r="L130" s="28">
        <f t="shared" si="50"/>
        <v>0</v>
      </c>
      <c r="M130" s="28">
        <f t="shared" si="50"/>
        <v>0</v>
      </c>
      <c r="N130" s="28">
        <f t="shared" si="50"/>
        <v>0</v>
      </c>
      <c r="O130" s="28">
        <f t="shared" si="50"/>
        <v>0</v>
      </c>
    </row>
    <row r="131" spans="2:15">
      <c r="B131" s="83" t="str">
        <f t="shared" si="41"/>
        <v>Debt 9</v>
      </c>
      <c r="C131" s="28">
        <f>BS!E43</f>
        <v>0</v>
      </c>
      <c r="D131" s="87"/>
      <c r="E131" s="28">
        <f t="shared" si="42"/>
        <v>0</v>
      </c>
      <c r="F131" s="28">
        <f t="shared" ref="F131:O131" si="51">E131-F45-F68</f>
        <v>0</v>
      </c>
      <c r="G131" s="28">
        <f t="shared" si="51"/>
        <v>0</v>
      </c>
      <c r="H131" s="28">
        <f t="shared" si="51"/>
        <v>0</v>
      </c>
      <c r="I131" s="28">
        <f t="shared" si="51"/>
        <v>0</v>
      </c>
      <c r="J131" s="28">
        <f t="shared" si="51"/>
        <v>0</v>
      </c>
      <c r="K131" s="28">
        <f t="shared" si="51"/>
        <v>0</v>
      </c>
      <c r="L131" s="28">
        <f t="shared" si="51"/>
        <v>0</v>
      </c>
      <c r="M131" s="28">
        <f t="shared" si="51"/>
        <v>0</v>
      </c>
      <c r="N131" s="28">
        <f t="shared" si="51"/>
        <v>0</v>
      </c>
      <c r="O131" s="28">
        <f t="shared" si="51"/>
        <v>0</v>
      </c>
    </row>
    <row r="132" spans="2:15">
      <c r="B132" s="87"/>
      <c r="C132" s="121">
        <f>C115+SUM(C118:C120)+SUM(C123:C131)</f>
        <v>241272</v>
      </c>
      <c r="D132" s="87"/>
      <c r="E132" s="121">
        <f t="shared" ref="E132:O132" si="52">E115+SUM(E118:E120)+SUM(E123:E131)</f>
        <v>241272</v>
      </c>
      <c r="F132" s="121">
        <f t="shared" si="52"/>
        <v>130783.20333056635</v>
      </c>
      <c r="G132" s="121">
        <f t="shared" si="52"/>
        <v>136301.68701987603</v>
      </c>
      <c r="H132" s="121">
        <f t="shared" si="52"/>
        <v>142168.08451770904</v>
      </c>
      <c r="I132" s="121">
        <f t="shared" si="52"/>
        <v>148404.33011344195</v>
      </c>
      <c r="J132" s="121">
        <f t="shared" si="52"/>
        <v>155033.74094771701</v>
      </c>
      <c r="K132" s="121">
        <f t="shared" si="52"/>
        <v>162081.10419455179</v>
      </c>
      <c r="L132" s="121">
        <f t="shared" si="52"/>
        <v>169572.76973986102</v>
      </c>
      <c r="M132" s="121">
        <f t="shared" si="52"/>
        <v>177536.74870291224</v>
      </c>
      <c r="N132" s="121">
        <f t="shared" si="52"/>
        <v>186002.81816908531</v>
      </c>
      <c r="O132" s="121">
        <f t="shared" si="52"/>
        <v>195002.63252552689</v>
      </c>
    </row>
    <row r="133" spans="2:15">
      <c r="B133" s="87"/>
      <c r="C133" s="87"/>
      <c r="D133" s="87"/>
      <c r="E133" s="87"/>
      <c r="F133" s="87"/>
      <c r="G133" s="87"/>
      <c r="H133" s="87"/>
      <c r="I133" s="87"/>
      <c r="J133" s="87"/>
      <c r="K133" s="87"/>
      <c r="L133" s="87"/>
      <c r="M133" s="87"/>
      <c r="N133" s="87"/>
      <c r="O133" s="87"/>
    </row>
    <row r="134" spans="2:15">
      <c r="B134" s="87" t="s">
        <v>110</v>
      </c>
      <c r="C134" s="123">
        <f>BS!E56</f>
        <v>134047</v>
      </c>
      <c r="D134" s="113"/>
      <c r="E134" s="113">
        <f>D134+C134</f>
        <v>134047</v>
      </c>
      <c r="F134" s="113">
        <f t="shared" ref="F134:O134" si="53">E134+F97</f>
        <v>185446.29759459096</v>
      </c>
      <c r="G134" s="113">
        <f t="shared" si="53"/>
        <v>240086.07326039567</v>
      </c>
      <c r="H134" s="113">
        <f t="shared" si="53"/>
        <v>298170.62352716131</v>
      </c>
      <c r="I134" s="113">
        <f t="shared" si="53"/>
        <v>359917.12483653368</v>
      </c>
      <c r="J134" s="113">
        <f t="shared" si="53"/>
        <v>425556.44555844704</v>
      </c>
      <c r="K134" s="113">
        <f t="shared" si="53"/>
        <v>495334.00920123467</v>
      </c>
      <c r="L134" s="113">
        <f t="shared" si="53"/>
        <v>569510.71204297838</v>
      </c>
      <c r="M134" s="113">
        <f t="shared" si="53"/>
        <v>648363.89861509332</v>
      </c>
      <c r="N134" s="113">
        <f t="shared" si="53"/>
        <v>732188.39868545253</v>
      </c>
      <c r="O134" s="113">
        <f t="shared" si="53"/>
        <v>821297.62961830187</v>
      </c>
    </row>
    <row r="135" spans="2:15">
      <c r="B135" s="87"/>
      <c r="C135" s="87"/>
      <c r="D135" s="87"/>
      <c r="E135" s="87"/>
      <c r="F135" s="87"/>
      <c r="G135" s="87"/>
      <c r="H135" s="87"/>
      <c r="I135" s="87"/>
      <c r="J135" s="87"/>
      <c r="K135" s="87"/>
      <c r="L135" s="87"/>
      <c r="M135" s="87"/>
      <c r="N135" s="87"/>
      <c r="O135" s="87"/>
    </row>
    <row r="136" spans="2:15">
      <c r="B136" s="30" t="s">
        <v>111</v>
      </c>
      <c r="C136" s="90" t="str">
        <f>IF(ABS(C113-C132-C134)&lt;2, "balances", "error")</f>
        <v>balances</v>
      </c>
      <c r="D136" s="87"/>
      <c r="E136" s="90" t="str">
        <f t="shared" ref="E136:O136" si="54">IF(ABS(E113-E132-E134)&lt;2, "balances", "error")</f>
        <v>balances</v>
      </c>
      <c r="F136" s="90" t="str">
        <f t="shared" si="54"/>
        <v>balances</v>
      </c>
      <c r="G136" s="90" t="str">
        <f t="shared" si="54"/>
        <v>balances</v>
      </c>
      <c r="H136" s="90" t="str">
        <f t="shared" si="54"/>
        <v>balances</v>
      </c>
      <c r="I136" s="90" t="str">
        <f t="shared" si="54"/>
        <v>balances</v>
      </c>
      <c r="J136" s="90" t="str">
        <f t="shared" si="54"/>
        <v>balances</v>
      </c>
      <c r="K136" s="90" t="str">
        <f t="shared" si="54"/>
        <v>balances</v>
      </c>
      <c r="L136" s="90" t="str">
        <f t="shared" si="54"/>
        <v>balances</v>
      </c>
      <c r="M136" s="90" t="str">
        <f t="shared" si="54"/>
        <v>balances</v>
      </c>
      <c r="N136" s="90" t="str">
        <f t="shared" si="54"/>
        <v>balances</v>
      </c>
      <c r="O136" s="90" t="str">
        <f t="shared" si="54"/>
        <v>balances</v>
      </c>
    </row>
    <row r="137" spans="2:15">
      <c r="B137" s="87"/>
      <c r="C137" s="87"/>
      <c r="D137" s="87"/>
      <c r="E137" s="87"/>
      <c r="F137" s="87"/>
      <c r="G137" s="87"/>
      <c r="H137" s="87"/>
      <c r="I137" s="87"/>
      <c r="J137" s="87"/>
      <c r="K137" s="87"/>
      <c r="L137" s="87"/>
      <c r="M137" s="87"/>
      <c r="N137" s="87"/>
      <c r="O137" s="87"/>
    </row>
    <row r="138" spans="2:15">
      <c r="B138" s="87" t="s">
        <v>112</v>
      </c>
      <c r="C138" s="87"/>
      <c r="D138" s="87"/>
      <c r="E138" s="113">
        <f t="shared" ref="E138:O138" si="55">E105-E115</f>
        <v>-27877</v>
      </c>
      <c r="F138" s="113">
        <f t="shared" si="55"/>
        <v>-29634.510538446193</v>
      </c>
      <c r="G138" s="113">
        <f t="shared" si="55"/>
        <v>-31502.823648645077</v>
      </c>
      <c r="H138" s="113">
        <f t="shared" si="55"/>
        <v>-33488.924898898185</v>
      </c>
      <c r="I138" s="113">
        <f t="shared" si="55"/>
        <v>-35600.240263931948</v>
      </c>
      <c r="J138" s="113">
        <f t="shared" si="55"/>
        <v>-37844.663890400989</v>
      </c>
      <c r="K138" s="113">
        <f t="shared" si="55"/>
        <v>-40230.587612872332</v>
      </c>
      <c r="L138" s="113">
        <f t="shared" si="55"/>
        <v>-42766.932330650656</v>
      </c>
      <c r="M138" s="113">
        <f t="shared" si="55"/>
        <v>-45463.181362760748</v>
      </c>
      <c r="N138" s="113">
        <f t="shared" si="55"/>
        <v>-48329.415905801376</v>
      </c>
      <c r="O138" s="113">
        <f t="shared" si="55"/>
        <v>-51376.352727245394</v>
      </c>
    </row>
    <row r="139" spans="2:15">
      <c r="B139" s="87" t="s">
        <v>113</v>
      </c>
      <c r="C139" s="87"/>
      <c r="D139" s="87"/>
      <c r="E139" s="87"/>
      <c r="F139" s="28">
        <f t="shared" ref="F139:O139" si="56">F138-E138</f>
        <v>-1757.5105384461931</v>
      </c>
      <c r="G139" s="28">
        <f t="shared" si="56"/>
        <v>-1868.3131101988838</v>
      </c>
      <c r="H139" s="28">
        <f t="shared" si="56"/>
        <v>-1986.1012502531084</v>
      </c>
      <c r="I139" s="28">
        <f t="shared" si="56"/>
        <v>-2111.3153650337626</v>
      </c>
      <c r="J139" s="28">
        <f t="shared" si="56"/>
        <v>-2244.4236264690408</v>
      </c>
      <c r="K139" s="28">
        <f t="shared" si="56"/>
        <v>-2385.9237224713434</v>
      </c>
      <c r="L139" s="28">
        <f t="shared" si="56"/>
        <v>-2536.3447177783237</v>
      </c>
      <c r="M139" s="28">
        <f t="shared" si="56"/>
        <v>-2696.2490321100922</v>
      </c>
      <c r="N139" s="28">
        <f t="shared" si="56"/>
        <v>-2866.2345430406276</v>
      </c>
      <c r="O139" s="28">
        <f t="shared" si="56"/>
        <v>-3046.9368214440183</v>
      </c>
    </row>
    <row r="140" spans="2:15">
      <c r="B140" s="87"/>
      <c r="C140" s="87"/>
      <c r="D140" s="87"/>
      <c r="E140" s="87"/>
      <c r="F140" s="87"/>
      <c r="G140" s="87"/>
      <c r="H140" s="87"/>
      <c r="I140" s="87"/>
      <c r="J140" s="87"/>
      <c r="K140" s="87"/>
      <c r="L140" s="87"/>
      <c r="M140" s="87"/>
      <c r="N140" s="87"/>
      <c r="O140" s="87"/>
    </row>
    <row r="141" spans="2:15">
      <c r="B141" s="87" t="s">
        <v>114</v>
      </c>
      <c r="C141" s="87"/>
      <c r="D141" s="87"/>
      <c r="E141" s="113">
        <f t="shared" ref="E141:O141" si="57">SUM(E109:E112)-SUM(E118:E120)</f>
        <v>-25074</v>
      </c>
      <c r="F141" s="113">
        <f t="shared" si="57"/>
        <v>-25074</v>
      </c>
      <c r="G141" s="113">
        <f t="shared" si="57"/>
        <v>-25074</v>
      </c>
      <c r="H141" s="113">
        <f t="shared" si="57"/>
        <v>-25074</v>
      </c>
      <c r="I141" s="113">
        <f t="shared" si="57"/>
        <v>-25074</v>
      </c>
      <c r="J141" s="113">
        <f t="shared" si="57"/>
        <v>-25074</v>
      </c>
      <c r="K141" s="113">
        <f t="shared" si="57"/>
        <v>-25074</v>
      </c>
      <c r="L141" s="113">
        <f t="shared" si="57"/>
        <v>-25074</v>
      </c>
      <c r="M141" s="113">
        <f t="shared" si="57"/>
        <v>-25074</v>
      </c>
      <c r="N141" s="113">
        <f t="shared" si="57"/>
        <v>-25074</v>
      </c>
      <c r="O141" s="113">
        <f t="shared" si="57"/>
        <v>-25074</v>
      </c>
    </row>
    <row r="142" spans="2:15">
      <c r="B142" s="87" t="s">
        <v>115</v>
      </c>
      <c r="C142" s="87"/>
      <c r="D142" s="87"/>
      <c r="E142" s="87"/>
      <c r="F142" s="28">
        <f t="shared" ref="F142:O142" si="58">F141-E141</f>
        <v>0</v>
      </c>
      <c r="G142" s="28">
        <f t="shared" si="58"/>
        <v>0</v>
      </c>
      <c r="H142" s="28">
        <f t="shared" si="58"/>
        <v>0</v>
      </c>
      <c r="I142" s="28">
        <f t="shared" si="58"/>
        <v>0</v>
      </c>
      <c r="J142" s="28">
        <f t="shared" si="58"/>
        <v>0</v>
      </c>
      <c r="K142" s="28">
        <f t="shared" si="58"/>
        <v>0</v>
      </c>
      <c r="L142" s="28">
        <f t="shared" si="58"/>
        <v>0</v>
      </c>
      <c r="M142" s="28">
        <f t="shared" si="58"/>
        <v>0</v>
      </c>
      <c r="N142" s="28">
        <f t="shared" si="58"/>
        <v>0</v>
      </c>
      <c r="O142" s="28">
        <f t="shared" si="58"/>
        <v>0</v>
      </c>
    </row>
    <row r="143" spans="2:15">
      <c r="B143" s="87"/>
      <c r="C143" s="87"/>
      <c r="D143" s="87"/>
      <c r="E143" s="87"/>
      <c r="F143" s="87"/>
      <c r="G143" s="87"/>
      <c r="H143" s="87"/>
      <c r="I143" s="87"/>
      <c r="J143" s="87"/>
      <c r="K143" s="87"/>
      <c r="L143" s="87"/>
      <c r="M143" s="87"/>
      <c r="N143" s="87"/>
      <c r="O143" s="87"/>
    </row>
    <row r="144" spans="2:15">
      <c r="B144" s="87"/>
      <c r="C144" s="87"/>
      <c r="D144" s="87"/>
      <c r="E144" s="87"/>
      <c r="F144" s="87"/>
      <c r="G144" s="87"/>
      <c r="H144" s="87"/>
      <c r="I144" s="87"/>
      <c r="J144" s="87"/>
      <c r="K144" s="87"/>
      <c r="L144" s="87"/>
      <c r="M144" s="87"/>
      <c r="N144" s="87"/>
      <c r="O144" s="87"/>
    </row>
    <row r="145" spans="2:15">
      <c r="B145" s="36" t="s">
        <v>116</v>
      </c>
      <c r="C145" s="23"/>
      <c r="D145" s="23"/>
      <c r="E145" s="23"/>
      <c r="F145" s="23"/>
      <c r="G145" s="23"/>
      <c r="H145" s="23"/>
      <c r="I145" s="23"/>
      <c r="J145" s="23"/>
      <c r="K145" s="23"/>
      <c r="L145" s="23"/>
      <c r="M145" s="23"/>
      <c r="N145" s="23"/>
      <c r="O145" s="23"/>
    </row>
    <row r="146" spans="2:15" ht="3" customHeight="1">
      <c r="B146" s="87"/>
      <c r="C146" s="87"/>
      <c r="D146" s="87"/>
      <c r="E146" s="87"/>
      <c r="F146" s="87"/>
      <c r="G146" s="87"/>
      <c r="H146" s="87"/>
      <c r="I146" s="87"/>
      <c r="J146" s="87"/>
      <c r="K146" s="87"/>
      <c r="L146" s="87"/>
      <c r="M146" s="87"/>
      <c r="N146" s="87"/>
      <c r="O146" s="87"/>
    </row>
    <row r="147" spans="2:15">
      <c r="B147" s="87"/>
      <c r="C147" s="87"/>
      <c r="D147" s="87"/>
      <c r="E147" s="87"/>
      <c r="F147" s="134">
        <f t="shared" ref="F147:O147" si="59">F5</f>
        <v>2018</v>
      </c>
      <c r="G147" s="134">
        <f t="shared" si="59"/>
        <v>2019</v>
      </c>
      <c r="H147" s="134">
        <f t="shared" si="59"/>
        <v>2020</v>
      </c>
      <c r="I147" s="134">
        <f t="shared" si="59"/>
        <v>2021</v>
      </c>
      <c r="J147" s="134">
        <f t="shared" si="59"/>
        <v>2022</v>
      </c>
      <c r="K147" s="134">
        <f t="shared" si="59"/>
        <v>2023</v>
      </c>
      <c r="L147" s="134">
        <f t="shared" si="59"/>
        <v>2024</v>
      </c>
      <c r="M147" s="134">
        <f t="shared" si="59"/>
        <v>2025</v>
      </c>
      <c r="N147" s="134">
        <f t="shared" si="59"/>
        <v>2026</v>
      </c>
      <c r="O147" s="134">
        <f t="shared" si="59"/>
        <v>2027</v>
      </c>
    </row>
    <row r="148" spans="2:15" ht="3" customHeight="1">
      <c r="B148" s="87"/>
      <c r="C148" s="87"/>
      <c r="D148" s="87"/>
      <c r="E148" s="87"/>
      <c r="F148" s="87"/>
      <c r="G148" s="87"/>
      <c r="H148" s="87"/>
      <c r="I148" s="87"/>
      <c r="J148" s="87"/>
      <c r="K148" s="87"/>
      <c r="L148" s="87"/>
      <c r="M148" s="87"/>
      <c r="N148" s="87"/>
      <c r="O148" s="87"/>
    </row>
    <row r="149" spans="2:15">
      <c r="B149" s="87" t="s">
        <v>117</v>
      </c>
      <c r="C149" s="87"/>
      <c r="D149" s="87"/>
      <c r="E149" s="87"/>
      <c r="F149" s="147">
        <f t="shared" ref="F149:O149" si="60">F97/AVERAGE(E134:F134)</f>
        <v>0.32175509146243297</v>
      </c>
      <c r="G149" s="147">
        <f t="shared" si="60"/>
        <v>0.25680667045856737</v>
      </c>
      <c r="H149" s="147">
        <f t="shared" si="60"/>
        <v>0.21582471937061984</v>
      </c>
      <c r="I149" s="147">
        <f t="shared" si="60"/>
        <v>0.18765431042563013</v>
      </c>
      <c r="J149" s="147">
        <f t="shared" si="60"/>
        <v>0.16713311101965192</v>
      </c>
      <c r="K149" s="147">
        <f t="shared" si="60"/>
        <v>0.15154367879944411</v>
      </c>
      <c r="L149" s="147">
        <f t="shared" si="60"/>
        <v>0.13931928545426281</v>
      </c>
      <c r="M149" s="147">
        <f t="shared" si="60"/>
        <v>0.12949311182291093</v>
      </c>
      <c r="N149" s="147">
        <f t="shared" si="60"/>
        <v>0.12143618207620945</v>
      </c>
      <c r="O149" s="147">
        <f t="shared" si="60"/>
        <v>0.11472163805701864</v>
      </c>
    </row>
    <row r="150" spans="2:15">
      <c r="B150" s="87" t="s">
        <v>118</v>
      </c>
      <c r="C150" s="87"/>
      <c r="D150" s="87"/>
      <c r="E150" s="87"/>
      <c r="F150" s="147">
        <f t="shared" ref="F150:O150" si="61">F97/AVERAGE(E113:F113)</f>
        <v>0.14864987061884655</v>
      </c>
      <c r="G150" s="147">
        <f t="shared" si="61"/>
        <v>0.15777768971772321</v>
      </c>
      <c r="H150" s="147">
        <f t="shared" si="61"/>
        <v>0.14223746264983775</v>
      </c>
      <c r="I150" s="147">
        <f t="shared" si="61"/>
        <v>0.13017622899741782</v>
      </c>
      <c r="J150" s="147">
        <f t="shared" si="61"/>
        <v>0.12055949853587314</v>
      </c>
      <c r="K150" s="147">
        <f t="shared" si="61"/>
        <v>0.11272579147813658</v>
      </c>
      <c r="L150" s="147">
        <f t="shared" si="61"/>
        <v>0.10623240595849764</v>
      </c>
      <c r="M150" s="147">
        <f t="shared" si="61"/>
        <v>0.10077186740215655</v>
      </c>
      <c r="N150" s="147">
        <f t="shared" si="61"/>
        <v>9.6123950569689018E-2</v>
      </c>
      <c r="O150" s="147">
        <f t="shared" si="61"/>
        <v>9.2126775331145952E-2</v>
      </c>
    </row>
    <row r="151" spans="2:15">
      <c r="B151" s="87"/>
      <c r="C151" s="87"/>
      <c r="D151" s="87"/>
      <c r="E151" s="87"/>
      <c r="F151" s="87"/>
      <c r="G151" s="87"/>
      <c r="H151" s="87"/>
      <c r="I151" s="87"/>
      <c r="J151" s="87"/>
      <c r="K151" s="87"/>
      <c r="L151" s="87"/>
      <c r="M151" s="87"/>
      <c r="N151" s="87"/>
      <c r="O151" s="87"/>
    </row>
    <row r="152" spans="2:15">
      <c r="B152" s="87"/>
      <c r="C152" s="87"/>
      <c r="D152" s="87"/>
      <c r="E152" s="87"/>
      <c r="F152" s="87"/>
      <c r="G152" s="87"/>
      <c r="H152" s="87"/>
      <c r="I152" s="87"/>
      <c r="J152" s="87"/>
      <c r="K152" s="87"/>
      <c r="L152" s="87"/>
      <c r="M152" s="87"/>
      <c r="N152" s="87"/>
      <c r="O152" s="87"/>
    </row>
    <row r="153" spans="2:15">
      <c r="B153" s="36" t="s">
        <v>119</v>
      </c>
      <c r="C153" s="23"/>
      <c r="D153" s="23"/>
      <c r="E153" s="23"/>
      <c r="F153" s="23"/>
      <c r="G153" s="23"/>
      <c r="H153" s="23"/>
      <c r="I153" s="23"/>
      <c r="J153" s="23"/>
      <c r="K153" s="23"/>
      <c r="L153" s="23"/>
      <c r="M153" s="23"/>
      <c r="N153" s="23"/>
      <c r="O153" s="23"/>
    </row>
    <row r="154" spans="2:15" ht="3" customHeight="1">
      <c r="B154" s="87"/>
      <c r="C154" s="87"/>
      <c r="D154" s="87"/>
      <c r="E154" s="87"/>
      <c r="F154" s="87"/>
      <c r="G154" s="87"/>
      <c r="H154" s="87"/>
      <c r="I154" s="87"/>
      <c r="J154" s="87"/>
      <c r="K154" s="87"/>
      <c r="L154" s="87"/>
      <c r="M154" s="87"/>
      <c r="N154" s="87"/>
      <c r="O154" s="87"/>
    </row>
    <row r="155" spans="2:15">
      <c r="B155" s="87"/>
      <c r="C155" s="87"/>
      <c r="D155" s="87"/>
      <c r="E155" s="87"/>
      <c r="F155" s="134">
        <f t="shared" ref="F155:O155" si="62">F5</f>
        <v>2018</v>
      </c>
      <c r="G155" s="134">
        <f t="shared" si="62"/>
        <v>2019</v>
      </c>
      <c r="H155" s="134">
        <f t="shared" si="62"/>
        <v>2020</v>
      </c>
      <c r="I155" s="134">
        <f t="shared" si="62"/>
        <v>2021</v>
      </c>
      <c r="J155" s="134">
        <f t="shared" si="62"/>
        <v>2022</v>
      </c>
      <c r="K155" s="134">
        <f t="shared" si="62"/>
        <v>2023</v>
      </c>
      <c r="L155" s="134">
        <f t="shared" si="62"/>
        <v>2024</v>
      </c>
      <c r="M155" s="134">
        <f t="shared" si="62"/>
        <v>2025</v>
      </c>
      <c r="N155" s="134">
        <f t="shared" si="62"/>
        <v>2026</v>
      </c>
      <c r="O155" s="134">
        <f t="shared" si="62"/>
        <v>2027</v>
      </c>
    </row>
    <row r="156" spans="2:15" ht="3" customHeight="1">
      <c r="B156" s="87"/>
      <c r="C156" s="87"/>
      <c r="D156" s="87"/>
      <c r="E156" s="87"/>
      <c r="F156" s="87"/>
      <c r="G156" s="87"/>
      <c r="H156" s="87"/>
      <c r="I156" s="87"/>
      <c r="J156" s="87"/>
      <c r="K156" s="87"/>
      <c r="L156" s="87"/>
      <c r="M156" s="87"/>
      <c r="N156" s="87"/>
      <c r="O156" s="87"/>
    </row>
    <row r="157" spans="2:15">
      <c r="B157" s="87" t="s">
        <v>120</v>
      </c>
      <c r="C157" s="87"/>
      <c r="D157" s="87"/>
      <c r="E157" s="87"/>
      <c r="F157" s="41">
        <f t="shared" ref="F157:O157" si="63">SUM(F123:F131)/F7</f>
        <v>0</v>
      </c>
      <c r="G157" s="41">
        <f t="shared" si="63"/>
        <v>0</v>
      </c>
      <c r="H157" s="41">
        <f t="shared" si="63"/>
        <v>0</v>
      </c>
      <c r="I157" s="41">
        <f t="shared" si="63"/>
        <v>0</v>
      </c>
      <c r="J157" s="41">
        <f t="shared" si="63"/>
        <v>0</v>
      </c>
      <c r="K157" s="41">
        <f t="shared" si="63"/>
        <v>0</v>
      </c>
      <c r="L157" s="41">
        <f t="shared" si="63"/>
        <v>0</v>
      </c>
      <c r="M157" s="41">
        <f t="shared" si="63"/>
        <v>0</v>
      </c>
      <c r="N157" s="41">
        <f t="shared" si="63"/>
        <v>0</v>
      </c>
      <c r="O157" s="41">
        <f t="shared" si="63"/>
        <v>0</v>
      </c>
    </row>
    <row r="158" spans="2:15">
      <c r="B158" s="87" t="s">
        <v>121</v>
      </c>
      <c r="C158" s="87"/>
      <c r="D158" s="87"/>
      <c r="E158" s="87"/>
      <c r="F158" s="41">
        <f t="shared" ref="F158:O158" si="64">(SUM(F123:F131)-F103)/F7</f>
        <v>-2.6782097888222118</v>
      </c>
      <c r="G158" s="41">
        <f t="shared" si="64"/>
        <v>-3.1818314925595832</v>
      </c>
      <c r="H158" s="41">
        <f t="shared" si="64"/>
        <v>-3.6555853012102317</v>
      </c>
      <c r="I158" s="41">
        <f t="shared" si="64"/>
        <v>-4.1012425664658982</v>
      </c>
      <c r="J158" s="41">
        <f t="shared" si="64"/>
        <v>-4.5204695878609202</v>
      </c>
      <c r="K158" s="41">
        <f t="shared" si="64"/>
        <v>-4.914833843017667</v>
      </c>
      <c r="L158" s="41">
        <f t="shared" si="64"/>
        <v>-5.2858098483997011</v>
      </c>
      <c r="M158" s="41">
        <f t="shared" si="64"/>
        <v>-5.6347846724859023</v>
      </c>
      <c r="N158" s="41">
        <f t="shared" si="64"/>
        <v>-5.9630631219791068</v>
      </c>
      <c r="O158" s="41">
        <f t="shared" si="64"/>
        <v>-6.2718726204403508</v>
      </c>
    </row>
    <row r="159" spans="2:15">
      <c r="B159" s="87" t="s">
        <v>122</v>
      </c>
      <c r="C159" s="87"/>
      <c r="D159" s="87"/>
      <c r="E159" s="87"/>
      <c r="F159" s="41" t="e">
        <f t="shared" ref="F159:O159" si="65">(F7+F9)/(-F86)</f>
        <v>#DIV/0!</v>
      </c>
      <c r="G159" s="41" t="e">
        <f t="shared" si="65"/>
        <v>#DIV/0!</v>
      </c>
      <c r="H159" s="41" t="e">
        <f t="shared" si="65"/>
        <v>#DIV/0!</v>
      </c>
      <c r="I159" s="41" t="e">
        <f t="shared" si="65"/>
        <v>#DIV/0!</v>
      </c>
      <c r="J159" s="41" t="e">
        <f t="shared" si="65"/>
        <v>#DIV/0!</v>
      </c>
      <c r="K159" s="41" t="e">
        <f t="shared" si="65"/>
        <v>#DIV/0!</v>
      </c>
      <c r="L159" s="41" t="e">
        <f t="shared" si="65"/>
        <v>#DIV/0!</v>
      </c>
      <c r="M159" s="41" t="e">
        <f t="shared" si="65"/>
        <v>#DIV/0!</v>
      </c>
      <c r="N159" s="41" t="e">
        <f t="shared" si="65"/>
        <v>#DIV/0!</v>
      </c>
      <c r="O159" s="41" t="e">
        <f t="shared" si="65"/>
        <v>#DIV/0!</v>
      </c>
    </row>
    <row r="160" spans="2:15">
      <c r="B160" s="87" t="s">
        <v>123</v>
      </c>
      <c r="C160" s="87"/>
      <c r="D160" s="87"/>
      <c r="E160" s="87"/>
      <c r="F160" s="41">
        <f t="shared" ref="F160:O160" si="66">SUM(F123:F131)/(SUM(F123:F131)+F134)</f>
        <v>0</v>
      </c>
      <c r="G160" s="41">
        <f t="shared" si="66"/>
        <v>0</v>
      </c>
      <c r="H160" s="41">
        <f t="shared" si="66"/>
        <v>0</v>
      </c>
      <c r="I160" s="41">
        <f t="shared" si="66"/>
        <v>0</v>
      </c>
      <c r="J160" s="41">
        <f t="shared" si="66"/>
        <v>0</v>
      </c>
      <c r="K160" s="41">
        <f t="shared" si="66"/>
        <v>0</v>
      </c>
      <c r="L160" s="41">
        <f t="shared" si="66"/>
        <v>0</v>
      </c>
      <c r="M160" s="41">
        <f t="shared" si="66"/>
        <v>0</v>
      </c>
      <c r="N160" s="41">
        <f t="shared" si="66"/>
        <v>0</v>
      </c>
      <c r="O160" s="41">
        <f t="shared" si="66"/>
        <v>0</v>
      </c>
    </row>
  </sheetData>
  <pageMargins left="0.7" right="0.7" top="0.75" bottom="0.75" header="0.3" footer="0.3"/>
  <pageSetup scale="4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23"/>
  <sheetViews>
    <sheetView zoomScale="75" zoomScaleNormal="75" workbookViewId="0">
      <selection activeCell="A30" sqref="A30"/>
    </sheetView>
  </sheetViews>
  <sheetFormatPr defaultColWidth="9" defaultRowHeight="15"/>
  <cols>
    <col min="1" max="4" width="9" style="195"/>
    <col min="5" max="5" width="29.42578125" style="195" customWidth="1"/>
    <col min="6" max="15" width="9.5703125" style="195" customWidth="1"/>
    <col min="16" max="16384" width="9" style="195"/>
  </cols>
  <sheetData>
    <row r="3" spans="2:15">
      <c r="B3" s="36" t="s">
        <v>293</v>
      </c>
      <c r="C3" s="23"/>
      <c r="D3" s="23"/>
      <c r="E3" s="23"/>
      <c r="F3" s="23"/>
      <c r="G3" s="23"/>
      <c r="H3" s="23"/>
      <c r="I3" s="23"/>
      <c r="J3" s="23"/>
      <c r="K3" s="23"/>
      <c r="L3" s="23"/>
      <c r="M3" s="23"/>
      <c r="N3" s="23"/>
      <c r="O3" s="23"/>
    </row>
    <row r="4" spans="2:15" ht="3" customHeight="1"/>
    <row r="5" spans="2:15">
      <c r="F5" s="134">
        <f>IS!H5</f>
        <v>2018</v>
      </c>
      <c r="G5" s="134">
        <f>IS!I5</f>
        <v>2019</v>
      </c>
      <c r="H5" s="134">
        <f>IS!J5</f>
        <v>2020</v>
      </c>
      <c r="I5" s="134">
        <f>IS!K5</f>
        <v>2021</v>
      </c>
      <c r="J5" s="134">
        <f>IS!L5</f>
        <v>2022</v>
      </c>
      <c r="K5" s="134">
        <f>IS!M5</f>
        <v>2023</v>
      </c>
      <c r="L5" s="134">
        <f>IS!N5</f>
        <v>2024</v>
      </c>
      <c r="M5" s="134">
        <f>IS!O5</f>
        <v>2025</v>
      </c>
      <c r="N5" s="134">
        <f>IS!P5</f>
        <v>2026</v>
      </c>
      <c r="O5" s="134">
        <f>IS!Q5</f>
        <v>2027</v>
      </c>
    </row>
    <row r="7" spans="2:15">
      <c r="B7" s="195" t="s">
        <v>3</v>
      </c>
      <c r="F7" s="123">
        <f>IS!H8</f>
        <v>243686.09924920814</v>
      </c>
      <c r="G7" s="123">
        <f>IS!I8</f>
        <v>259049.33372577769</v>
      </c>
      <c r="H7" s="123">
        <f>IS!J8</f>
        <v>275381.14611593873</v>
      </c>
      <c r="I7" s="123">
        <f>IS!K8</f>
        <v>292742.60059052904</v>
      </c>
      <c r="J7" s="123">
        <f>IS!L8</f>
        <v>311198.61112215009</v>
      </c>
      <c r="K7" s="123">
        <f>IS!M8</f>
        <v>330818.18419662002</v>
      </c>
      <c r="L7" s="123">
        <f>IS!N8</f>
        <v>351674.67682621413</v>
      </c>
      <c r="M7" s="123">
        <f>IS!O8</f>
        <v>373846.07082939713</v>
      </c>
      <c r="N7" s="123">
        <f>IS!P8</f>
        <v>397415.26440257102</v>
      </c>
      <c r="O7" s="123">
        <f>IS!Q8</f>
        <v>422470.38207401702</v>
      </c>
    </row>
    <row r="9" spans="2:15">
      <c r="B9" s="195" t="str">
        <f>CF!B7</f>
        <v>EBITDA</v>
      </c>
      <c r="F9" s="123">
        <f>CF!F7</f>
        <v>76008.793557751618</v>
      </c>
      <c r="G9" s="123">
        <f>CF!G7</f>
        <v>80800.781780742953</v>
      </c>
      <c r="H9" s="123">
        <f>CF!H7</f>
        <v>85894.881773365822</v>
      </c>
      <c r="I9" s="123">
        <f>CF!I7</f>
        <v>91310.140227119089</v>
      </c>
      <c r="J9" s="123">
        <f>CF!J7</f>
        <v>97066.804635633729</v>
      </c>
      <c r="K9" s="123">
        <f>CF!K7</f>
        <v>103186.39899946138</v>
      </c>
      <c r="L9" s="123">
        <f>CF!L7</f>
        <v>109691.80430368592</v>
      </c>
      <c r="M9" s="123">
        <f>CF!M7</f>
        <v>116607.34406925994</v>
      </c>
      <c r="N9" s="123">
        <f>CF!N7</f>
        <v>123958.87529794109</v>
      </c>
      <c r="O9" s="123">
        <f>CF!O7</f>
        <v>131773.88515086891</v>
      </c>
    </row>
    <row r="10" spans="2:15">
      <c r="B10" s="195" t="str">
        <f>CF!B8</f>
        <v>Total other non-operating income</v>
      </c>
      <c r="F10" s="124">
        <f>CF!F8</f>
        <v>2918.0590245734766</v>
      </c>
      <c r="G10" s="124">
        <f>CF!G8</f>
        <v>3102.0285868468891</v>
      </c>
      <c r="H10" s="124">
        <f>CF!H8</f>
        <v>3297.596543655181</v>
      </c>
      <c r="I10" s="124">
        <f>CF!I8</f>
        <v>3505.4941178926433</v>
      </c>
      <c r="J10" s="124">
        <f>CF!J8</f>
        <v>3726.4986325340133</v>
      </c>
      <c r="K10" s="124">
        <f>CF!K8</f>
        <v>3961.4364170224394</v>
      </c>
      <c r="L10" s="124">
        <f>CF!L8</f>
        <v>4211.185896891202</v>
      </c>
      <c r="M10" s="124">
        <f>CF!M8</f>
        <v>4476.6808781711925</v>
      </c>
      <c r="N10" s="124">
        <f>CF!N8</f>
        <v>4758.9140388644682</v>
      </c>
      <c r="O10" s="124">
        <f>CF!O8</f>
        <v>5058.940640538387</v>
      </c>
    </row>
    <row r="11" spans="2:15">
      <c r="B11" s="195" t="str">
        <f>CF!B9</f>
        <v>CapEx</v>
      </c>
      <c r="F11" s="124">
        <f>CF!F9</f>
        <v>-13601.663103612982</v>
      </c>
      <c r="G11" s="124">
        <f>CF!G9</f>
        <v>-14459.182429401073</v>
      </c>
      <c r="H11" s="124">
        <f>CF!H9</f>
        <v>-15370.764217146827</v>
      </c>
      <c r="I11" s="124">
        <f>CF!I9</f>
        <v>-16339.816844603414</v>
      </c>
      <c r="J11" s="124">
        <f>CF!J9</f>
        <v>-17369.963571319746</v>
      </c>
      <c r="K11" s="124">
        <f>CF!K9</f>
        <v>-18465.056085902408</v>
      </c>
      <c r="L11" s="124">
        <f>CF!L9</f>
        <v>-19629.188907367188</v>
      </c>
      <c r="M11" s="124">
        <f>CF!M9</f>
        <v>-20866.714694426377</v>
      </c>
      <c r="N11" s="124">
        <f>CF!N9</f>
        <v>-22182.260519952957</v>
      </c>
      <c r="O11" s="124">
        <f>CF!O9</f>
        <v>-23580.745171471281</v>
      </c>
    </row>
    <row r="12" spans="2:15">
      <c r="B12" s="195" t="str">
        <f>CF!B10</f>
        <v>Interest Expense (income) + minority interest</v>
      </c>
      <c r="F12" s="124">
        <f>CF!F10</f>
        <v>0</v>
      </c>
      <c r="G12" s="124">
        <f>CF!G10</f>
        <v>0</v>
      </c>
      <c r="H12" s="124">
        <f>CF!H10</f>
        <v>0</v>
      </c>
      <c r="I12" s="124">
        <f>CF!I10</f>
        <v>0</v>
      </c>
      <c r="J12" s="124">
        <f>CF!J10</f>
        <v>0</v>
      </c>
      <c r="K12" s="124">
        <f>CF!K10</f>
        <v>0</v>
      </c>
      <c r="L12" s="124">
        <f>CF!L10</f>
        <v>0</v>
      </c>
      <c r="M12" s="124">
        <f>CF!M10</f>
        <v>0</v>
      </c>
      <c r="N12" s="124">
        <f>CF!N10</f>
        <v>0</v>
      </c>
      <c r="O12" s="124">
        <f>CF!O10</f>
        <v>0</v>
      </c>
    </row>
    <row r="13" spans="2:15">
      <c r="B13" s="195" t="str">
        <f>CF!B11</f>
        <v>Taxes</v>
      </c>
      <c r="F13" s="124">
        <f>CF!F11</f>
        <v>-16730.20507422127</v>
      </c>
      <c r="G13" s="124">
        <f>CF!G11</f>
        <v>-17784.963897922164</v>
      </c>
      <c r="H13" s="124">
        <f>CF!H11</f>
        <v>-18906.220183623045</v>
      </c>
      <c r="I13" s="124">
        <f>CF!I11</f>
        <v>-20098.166275917822</v>
      </c>
      <c r="J13" s="124">
        <f>CF!J11</f>
        <v>-21365.258826528352</v>
      </c>
      <c r="K13" s="124">
        <f>CF!K11</f>
        <v>-22712.235457595325</v>
      </c>
      <c r="L13" s="124">
        <f>CF!L11</f>
        <v>-24144.132475509559</v>
      </c>
      <c r="M13" s="124">
        <f>CF!M11</f>
        <v>-25666.303701514844</v>
      </c>
      <c r="N13" s="124">
        <f>CF!N11</f>
        <v>-27284.440489489618</v>
      </c>
      <c r="O13" s="124">
        <f>CF!O11</f>
        <v>-29004.593005753421</v>
      </c>
    </row>
    <row r="14" spans="2:15">
      <c r="B14" s="195" t="str">
        <f>CF!B12</f>
        <v>Change in WC</v>
      </c>
      <c r="F14" s="124">
        <f>CF!F12</f>
        <v>1757.5105384461931</v>
      </c>
      <c r="G14" s="124">
        <f>CF!G12</f>
        <v>1868.3131101988838</v>
      </c>
      <c r="H14" s="124">
        <f>CF!H12</f>
        <v>1986.1012502531084</v>
      </c>
      <c r="I14" s="124">
        <f>CF!I12</f>
        <v>2111.3153650337626</v>
      </c>
      <c r="J14" s="124">
        <f>CF!J12</f>
        <v>2244.4236264690408</v>
      </c>
      <c r="K14" s="124">
        <f>CF!K12</f>
        <v>2385.9237224713434</v>
      </c>
      <c r="L14" s="124">
        <f>CF!L12</f>
        <v>2536.3447177783237</v>
      </c>
      <c r="M14" s="124">
        <f>CF!M12</f>
        <v>2696.2490321100922</v>
      </c>
      <c r="N14" s="124">
        <f>CF!N12</f>
        <v>2866.2345430406276</v>
      </c>
      <c r="O14" s="124">
        <f>CF!O12</f>
        <v>3046.9368214440183</v>
      </c>
    </row>
    <row r="15" spans="2:15">
      <c r="B15" s="195" t="str">
        <f>CF!B13</f>
        <v>Change in Long-Term Net Assets (Ex. PPE, Amort. fees, Debt)</v>
      </c>
      <c r="F15" s="124">
        <f>CF!F13</f>
        <v>0</v>
      </c>
      <c r="G15" s="124">
        <f>CF!G13</f>
        <v>0</v>
      </c>
      <c r="H15" s="124">
        <f>CF!H13</f>
        <v>0</v>
      </c>
      <c r="I15" s="124">
        <f>CF!I13</f>
        <v>0</v>
      </c>
      <c r="J15" s="124">
        <f>CF!J13</f>
        <v>0</v>
      </c>
      <c r="K15" s="124">
        <f>CF!K13</f>
        <v>0</v>
      </c>
      <c r="L15" s="124">
        <f>CF!L13</f>
        <v>0</v>
      </c>
      <c r="M15" s="124">
        <f>CF!M13</f>
        <v>0</v>
      </c>
      <c r="N15" s="124">
        <f>CF!N13</f>
        <v>0</v>
      </c>
      <c r="O15" s="124">
        <f>CF!O13</f>
        <v>0</v>
      </c>
    </row>
    <row r="16" spans="2:15">
      <c r="B16" s="195" t="str">
        <f>CF!B14</f>
        <v>FCF</v>
      </c>
      <c r="F16" s="121">
        <f>SUM(F9:F15)</f>
        <v>50352.494942937032</v>
      </c>
      <c r="G16" s="121">
        <f t="shared" ref="G16:O16" si="0">SUM(G9:G15)</f>
        <v>53526.977150465493</v>
      </c>
      <c r="H16" s="121">
        <f t="shared" si="0"/>
        <v>56901.59516650423</v>
      </c>
      <c r="I16" s="121">
        <f t="shared" si="0"/>
        <v>60488.966589524258</v>
      </c>
      <c r="J16" s="121">
        <f t="shared" si="0"/>
        <v>64302.504496788679</v>
      </c>
      <c r="K16" s="121">
        <f t="shared" si="0"/>
        <v>68356.467595457434</v>
      </c>
      <c r="L16" s="121">
        <f t="shared" si="0"/>
        <v>72666.013535478691</v>
      </c>
      <c r="M16" s="121">
        <f t="shared" si="0"/>
        <v>77247.255583599996</v>
      </c>
      <c r="N16" s="121">
        <f t="shared" si="0"/>
        <v>82117.322870403616</v>
      </c>
      <c r="O16" s="121">
        <f t="shared" si="0"/>
        <v>87294.424435626599</v>
      </c>
    </row>
    <row r="18" spans="2:15">
      <c r="B18" s="195" t="s">
        <v>30</v>
      </c>
      <c r="F18" s="123">
        <f>BS!F10</f>
        <v>203567.49494293705</v>
      </c>
      <c r="G18" s="123">
        <f>BS!G10</f>
        <v>257094.47209340252</v>
      </c>
      <c r="H18" s="123">
        <f>BS!H10</f>
        <v>313996.06725990673</v>
      </c>
      <c r="I18" s="123">
        <f>BS!I10</f>
        <v>374485.03384943097</v>
      </c>
      <c r="J18" s="123">
        <f>BS!J10</f>
        <v>438787.53834621963</v>
      </c>
      <c r="K18" s="123">
        <f>BS!K10</f>
        <v>507144.00594167708</v>
      </c>
      <c r="L18" s="123">
        <f>BS!L10</f>
        <v>579810.01947715576</v>
      </c>
      <c r="M18" s="123">
        <f>BS!M10</f>
        <v>657057.27506075578</v>
      </c>
      <c r="N18" s="123">
        <f>BS!N10</f>
        <v>739174.59793115943</v>
      </c>
      <c r="O18" s="123">
        <f>BS!O10</f>
        <v>826469.02236678603</v>
      </c>
    </row>
    <row r="19" spans="2:15">
      <c r="B19" s="195" t="s">
        <v>109</v>
      </c>
      <c r="F19" s="123">
        <f>BS!F44</f>
        <v>0</v>
      </c>
      <c r="G19" s="123">
        <f>BS!G44</f>
        <v>0</v>
      </c>
      <c r="H19" s="123">
        <f>BS!H44</f>
        <v>0</v>
      </c>
      <c r="I19" s="123">
        <f>BS!I44</f>
        <v>0</v>
      </c>
      <c r="J19" s="123">
        <f>BS!J44</f>
        <v>0</v>
      </c>
      <c r="K19" s="123">
        <f>BS!K44</f>
        <v>0</v>
      </c>
      <c r="L19" s="123">
        <f>BS!L44</f>
        <v>0</v>
      </c>
      <c r="M19" s="123">
        <f>BS!M44</f>
        <v>0</v>
      </c>
      <c r="N19" s="123">
        <f>BS!N44</f>
        <v>0</v>
      </c>
      <c r="O19" s="123">
        <f>BS!O44</f>
        <v>0</v>
      </c>
    </row>
    <row r="20" spans="2:15">
      <c r="F20" s="123"/>
      <c r="G20" s="123"/>
      <c r="H20" s="123"/>
      <c r="I20" s="123"/>
      <c r="J20" s="123"/>
      <c r="K20" s="123"/>
      <c r="L20" s="123"/>
      <c r="M20" s="123"/>
      <c r="N20" s="123"/>
      <c r="O20" s="123"/>
    </row>
    <row r="21" spans="2:15" s="27" customFormat="1">
      <c r="B21" s="27" t="s">
        <v>294</v>
      </c>
      <c r="F21" s="197">
        <f>F19/F9</f>
        <v>0</v>
      </c>
      <c r="G21" s="197">
        <f t="shared" ref="G21:O21" si="1">G19/G9</f>
        <v>0</v>
      </c>
      <c r="H21" s="197">
        <f t="shared" si="1"/>
        <v>0</v>
      </c>
      <c r="I21" s="197">
        <f t="shared" si="1"/>
        <v>0</v>
      </c>
      <c r="J21" s="197">
        <f t="shared" si="1"/>
        <v>0</v>
      </c>
      <c r="K21" s="197">
        <f t="shared" si="1"/>
        <v>0</v>
      </c>
      <c r="L21" s="197">
        <f t="shared" si="1"/>
        <v>0</v>
      </c>
      <c r="M21" s="197">
        <f t="shared" si="1"/>
        <v>0</v>
      </c>
      <c r="N21" s="197">
        <f t="shared" si="1"/>
        <v>0</v>
      </c>
      <c r="O21" s="197">
        <f t="shared" si="1"/>
        <v>0</v>
      </c>
    </row>
    <row r="22" spans="2:15">
      <c r="B22" s="27" t="s">
        <v>295</v>
      </c>
      <c r="F22" s="197">
        <f>(F19-F18)/F9</f>
        <v>-2.6782097888222118</v>
      </c>
      <c r="G22" s="197">
        <f t="shared" ref="G22:O22" si="2">(G19-G18)/G9</f>
        <v>-3.1818314925595832</v>
      </c>
      <c r="H22" s="197">
        <f t="shared" si="2"/>
        <v>-3.6555853012102317</v>
      </c>
      <c r="I22" s="197">
        <f t="shared" si="2"/>
        <v>-4.1012425664658982</v>
      </c>
      <c r="J22" s="197">
        <f t="shared" si="2"/>
        <v>-4.5204695878609202</v>
      </c>
      <c r="K22" s="197">
        <f t="shared" si="2"/>
        <v>-4.914833843017667</v>
      </c>
      <c r="L22" s="197">
        <f t="shared" si="2"/>
        <v>-5.2858098483997011</v>
      </c>
      <c r="M22" s="197">
        <f t="shared" si="2"/>
        <v>-5.6347846724859023</v>
      </c>
      <c r="N22" s="197">
        <f t="shared" si="2"/>
        <v>-5.9630631219791068</v>
      </c>
      <c r="O22" s="197">
        <f t="shared" si="2"/>
        <v>-6.2718726204403508</v>
      </c>
    </row>
    <row r="23" spans="2:15">
      <c r="B23" s="27" t="s">
        <v>296</v>
      </c>
      <c r="F23" s="197" t="e">
        <f>(F9+F11)/F12</f>
        <v>#DIV/0!</v>
      </c>
      <c r="G23" s="197" t="e">
        <f t="shared" ref="G23:O23" si="3">(G9+G11)/G12</f>
        <v>#DIV/0!</v>
      </c>
      <c r="H23" s="197" t="e">
        <f t="shared" si="3"/>
        <v>#DIV/0!</v>
      </c>
      <c r="I23" s="197" t="e">
        <f t="shared" si="3"/>
        <v>#DIV/0!</v>
      </c>
      <c r="J23" s="197" t="e">
        <f t="shared" si="3"/>
        <v>#DIV/0!</v>
      </c>
      <c r="K23" s="197" t="e">
        <f t="shared" si="3"/>
        <v>#DIV/0!</v>
      </c>
      <c r="L23" s="197" t="e">
        <f t="shared" si="3"/>
        <v>#DIV/0!</v>
      </c>
      <c r="M23" s="197" t="e">
        <f t="shared" si="3"/>
        <v>#DIV/0!</v>
      </c>
      <c r="N23" s="197" t="e">
        <f t="shared" si="3"/>
        <v>#DIV/0!</v>
      </c>
      <c r="O23" s="197" t="e">
        <f t="shared" si="3"/>
        <v>#DIV/0!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C3:AA24"/>
  <sheetViews>
    <sheetView view="pageBreakPreview" zoomScale="75" zoomScaleSheetLayoutView="75" workbookViewId="0">
      <selection activeCell="D23" sqref="D23"/>
    </sheetView>
  </sheetViews>
  <sheetFormatPr defaultRowHeight="15"/>
  <cols>
    <col min="3" max="3" width="30.7109375" style="3" customWidth="1"/>
    <col min="4" max="15" width="10.85546875" style="3" bestFit="1" customWidth="1"/>
    <col min="17" max="17" width="25.140625" style="3" customWidth="1"/>
    <col min="18" max="27" width="11.7109375" style="3" customWidth="1"/>
  </cols>
  <sheetData>
    <row r="3" spans="3:27">
      <c r="C3" s="23" t="s">
        <v>124</v>
      </c>
      <c r="D3" s="23"/>
      <c r="E3" s="23"/>
      <c r="F3" s="23"/>
      <c r="G3" s="23"/>
      <c r="H3" s="23"/>
      <c r="I3" s="23"/>
      <c r="J3" s="23"/>
      <c r="K3" s="23"/>
      <c r="L3" s="23"/>
      <c r="M3" s="23"/>
      <c r="N3" s="23"/>
      <c r="O3" s="23"/>
      <c r="Q3" s="23" t="s">
        <v>125</v>
      </c>
      <c r="R3" s="23"/>
      <c r="S3" s="23"/>
      <c r="T3" s="23"/>
      <c r="U3" s="23"/>
      <c r="V3" s="23"/>
      <c r="W3" s="23"/>
      <c r="X3" s="23"/>
      <c r="Y3" s="23"/>
      <c r="Z3" s="23"/>
      <c r="AA3" s="23"/>
    </row>
    <row r="4" spans="3:27" ht="3" customHeight="1">
      <c r="C4" s="3" t="s">
        <v>2</v>
      </c>
    </row>
    <row r="5" spans="3:27">
      <c r="D5" s="24">
        <f>IS!F5</f>
        <v>2016</v>
      </c>
      <c r="E5" s="24">
        <f>IS!G5</f>
        <v>2017</v>
      </c>
      <c r="F5" s="25">
        <f>IS!H5</f>
        <v>2018</v>
      </c>
      <c r="G5" s="25">
        <f>IS!I5</f>
        <v>2019</v>
      </c>
      <c r="H5" s="25">
        <f>IS!J5</f>
        <v>2020</v>
      </c>
      <c r="I5" s="25">
        <f>IS!K5</f>
        <v>2021</v>
      </c>
      <c r="J5" s="25">
        <f>IS!L5</f>
        <v>2022</v>
      </c>
      <c r="K5" s="25">
        <f>IS!M5</f>
        <v>2023</v>
      </c>
      <c r="L5" s="25">
        <f>IS!N5</f>
        <v>2024</v>
      </c>
      <c r="M5" s="25">
        <f>IS!O5</f>
        <v>2025</v>
      </c>
      <c r="N5" s="25">
        <f>IS!P5</f>
        <v>2026</v>
      </c>
      <c r="O5" s="25">
        <f>IS!Q5</f>
        <v>2027</v>
      </c>
      <c r="R5" s="25">
        <f t="shared" ref="R5:AA5" si="0">F5</f>
        <v>2018</v>
      </c>
      <c r="S5" s="25">
        <f t="shared" si="0"/>
        <v>2019</v>
      </c>
      <c r="T5" s="25">
        <f t="shared" si="0"/>
        <v>2020</v>
      </c>
      <c r="U5" s="25">
        <f t="shared" si="0"/>
        <v>2021</v>
      </c>
      <c r="V5" s="25">
        <f t="shared" si="0"/>
        <v>2022</v>
      </c>
      <c r="W5" s="25">
        <f t="shared" si="0"/>
        <v>2023</v>
      </c>
      <c r="X5" s="25">
        <f t="shared" si="0"/>
        <v>2024</v>
      </c>
      <c r="Y5" s="25">
        <f t="shared" si="0"/>
        <v>2025</v>
      </c>
      <c r="Z5" s="25">
        <f t="shared" si="0"/>
        <v>2026</v>
      </c>
      <c r="AA5" s="25">
        <f t="shared" si="0"/>
        <v>2027</v>
      </c>
    </row>
    <row r="6" spans="3:27" ht="3" customHeight="1">
      <c r="C6" s="3" t="s">
        <v>2</v>
      </c>
      <c r="D6" s="87"/>
    </row>
    <row r="7" spans="3:27">
      <c r="C7" s="3" t="s">
        <v>3</v>
      </c>
      <c r="D7" s="123">
        <f>IS!F9</f>
        <v>215639</v>
      </c>
      <c r="E7" s="123">
        <f>IS!G9</f>
        <v>229234</v>
      </c>
      <c r="F7" s="123">
        <f>IS!H9</f>
        <v>243686.09924920814</v>
      </c>
      <c r="G7" s="123">
        <f>IS!I9</f>
        <v>259049.33372577769</v>
      </c>
      <c r="H7" s="123">
        <f>IS!J9</f>
        <v>275381.14611593873</v>
      </c>
      <c r="I7" s="123">
        <f>IS!K9</f>
        <v>292742.60059052904</v>
      </c>
      <c r="J7" s="123">
        <f>IS!L9</f>
        <v>311198.61112215009</v>
      </c>
      <c r="K7" s="123">
        <f>IS!M9</f>
        <v>330818.18419662002</v>
      </c>
      <c r="L7" s="123">
        <f>IS!N9</f>
        <v>351674.67682621413</v>
      </c>
      <c r="M7" s="123">
        <f>IS!O9</f>
        <v>373846.07082939713</v>
      </c>
      <c r="N7" s="123">
        <f>IS!P9</f>
        <v>397415.26440257102</v>
      </c>
      <c r="O7" s="123">
        <f>IS!Q9</f>
        <v>422470.38207401702</v>
      </c>
      <c r="P7" s="87"/>
      <c r="Q7" s="87"/>
      <c r="R7" s="87"/>
      <c r="S7" s="87"/>
      <c r="T7" s="87"/>
      <c r="U7" s="87"/>
      <c r="V7" s="87"/>
      <c r="W7" s="87"/>
      <c r="X7" s="87"/>
      <c r="Y7" s="87"/>
      <c r="Z7" s="87"/>
      <c r="AA7" s="87"/>
    </row>
    <row r="8" spans="3:27">
      <c r="C8" s="3" t="s">
        <v>126</v>
      </c>
      <c r="D8" s="124">
        <f>IS!F13</f>
        <v>131376</v>
      </c>
      <c r="E8" s="124">
        <f>IS!G13</f>
        <v>141048</v>
      </c>
      <c r="F8" s="124">
        <f>IS!H13</f>
        <v>149940.39682988697</v>
      </c>
      <c r="G8" s="124">
        <f>IS!I13</f>
        <v>159393.41643627686</v>
      </c>
      <c r="H8" s="124">
        <f>IS!J13</f>
        <v>169442.40338414424</v>
      </c>
      <c r="I8" s="124">
        <f>IS!K13</f>
        <v>180124.93054299511</v>
      </c>
      <c r="J8" s="124">
        <f>IS!L13</f>
        <v>191480.93957073131</v>
      </c>
      <c r="K8" s="124">
        <f>IS!M13</f>
        <v>203552.89025434648</v>
      </c>
      <c r="L8" s="124">
        <f>IS!N13</f>
        <v>216385.91926583249</v>
      </c>
      <c r="M8" s="124">
        <f>IS!O13</f>
        <v>230028.00892688171</v>
      </c>
      <c r="N8" s="124">
        <f>IS!P13</f>
        <v>244530.16661338997</v>
      </c>
      <c r="O8" s="124">
        <f>IS!Q13</f>
        <v>259946.61547054953</v>
      </c>
      <c r="P8" s="87"/>
      <c r="Q8" s="87"/>
      <c r="R8" s="87"/>
      <c r="S8" s="87"/>
      <c r="T8" s="87"/>
      <c r="U8" s="87"/>
      <c r="V8" s="87"/>
      <c r="W8" s="87"/>
      <c r="X8" s="87"/>
      <c r="Y8" s="87"/>
      <c r="Z8" s="87"/>
      <c r="AA8" s="87"/>
    </row>
    <row r="9" spans="3:27">
      <c r="D9" s="87"/>
      <c r="E9" s="87"/>
      <c r="F9" s="87"/>
      <c r="G9" s="87"/>
      <c r="H9" s="87"/>
      <c r="I9" s="87"/>
      <c r="J9" s="87"/>
      <c r="K9" s="87"/>
      <c r="L9" s="87"/>
      <c r="M9" s="87"/>
      <c r="N9" s="87"/>
      <c r="O9" s="87"/>
      <c r="P9" s="87"/>
      <c r="Q9" s="87"/>
      <c r="R9" s="87"/>
      <c r="S9" s="87"/>
      <c r="T9" s="87"/>
      <c r="U9" s="87"/>
      <c r="V9" s="87"/>
      <c r="W9" s="87"/>
      <c r="X9" s="87"/>
      <c r="Y9" s="87"/>
      <c r="Z9" s="87"/>
      <c r="AA9" s="87"/>
    </row>
    <row r="10" spans="3:27">
      <c r="C10" s="3" t="s">
        <v>127</v>
      </c>
      <c r="D10" s="87"/>
      <c r="E10" s="87"/>
      <c r="F10" s="87"/>
      <c r="G10" s="87"/>
      <c r="H10" s="87"/>
      <c r="I10" s="87"/>
      <c r="J10" s="87"/>
      <c r="K10" s="87"/>
      <c r="L10" s="87"/>
      <c r="M10" s="87"/>
      <c r="N10" s="87"/>
      <c r="O10" s="87"/>
      <c r="P10" s="87"/>
      <c r="Q10" s="87"/>
      <c r="R10" s="87"/>
      <c r="S10" s="87"/>
      <c r="T10" s="87"/>
      <c r="U10" s="87"/>
      <c r="V10" s="87"/>
      <c r="W10" s="87"/>
      <c r="X10" s="87"/>
      <c r="Y10" s="87"/>
      <c r="Z10" s="87"/>
      <c r="AA10" s="87"/>
    </row>
    <row r="11" spans="3:27" s="87" customFormat="1">
      <c r="C11" s="83" t="str">
        <f>BS!C13</f>
        <v>Restricted cash</v>
      </c>
      <c r="D11" s="123">
        <f>BS!D13</f>
        <v>0</v>
      </c>
      <c r="E11" s="123">
        <f>BS!E13</f>
        <v>0</v>
      </c>
      <c r="F11" s="193">
        <f>F7*R11/365</f>
        <v>0</v>
      </c>
      <c r="G11" s="193">
        <f t="shared" ref="G11:O11" si="1">G7*S11/365</f>
        <v>0</v>
      </c>
      <c r="H11" s="193">
        <f t="shared" si="1"/>
        <v>0</v>
      </c>
      <c r="I11" s="193">
        <f t="shared" si="1"/>
        <v>0</v>
      </c>
      <c r="J11" s="193">
        <f t="shared" si="1"/>
        <v>0</v>
      </c>
      <c r="K11" s="193">
        <f t="shared" si="1"/>
        <v>0</v>
      </c>
      <c r="L11" s="193">
        <f t="shared" si="1"/>
        <v>0</v>
      </c>
      <c r="M11" s="193">
        <f t="shared" si="1"/>
        <v>0</v>
      </c>
      <c r="N11" s="193">
        <f t="shared" si="1"/>
        <v>0</v>
      </c>
      <c r="O11" s="193">
        <f t="shared" si="1"/>
        <v>0</v>
      </c>
      <c r="Q11" s="87" t="str">
        <f>BS!C13</f>
        <v>Restricted cash</v>
      </c>
      <c r="R11" s="149">
        <f>365*E11/E7</f>
        <v>0</v>
      </c>
      <c r="S11" s="31">
        <f t="shared" ref="S11:AA11" si="2">R11</f>
        <v>0</v>
      </c>
      <c r="T11" s="31">
        <f t="shared" si="2"/>
        <v>0</v>
      </c>
      <c r="U11" s="31">
        <f t="shared" si="2"/>
        <v>0</v>
      </c>
      <c r="V11" s="31">
        <f t="shared" si="2"/>
        <v>0</v>
      </c>
      <c r="W11" s="31">
        <f t="shared" si="2"/>
        <v>0</v>
      </c>
      <c r="X11" s="31">
        <f t="shared" si="2"/>
        <v>0</v>
      </c>
      <c r="Y11" s="31">
        <f t="shared" si="2"/>
        <v>0</v>
      </c>
      <c r="Z11" s="31">
        <f t="shared" si="2"/>
        <v>0</v>
      </c>
      <c r="AA11" s="31">
        <f t="shared" si="2"/>
        <v>0</v>
      </c>
    </row>
    <row r="12" spans="3:27">
      <c r="C12" s="26" t="str">
        <f>BS!C14</f>
        <v>Net Receivables</v>
      </c>
      <c r="D12" s="124">
        <f>BS!D14</f>
        <v>15754</v>
      </c>
      <c r="E12" s="124">
        <f>BS!E14</f>
        <v>17874</v>
      </c>
      <c r="F12" s="32">
        <f t="shared" ref="F12:O12" si="3">F7*R12/365</f>
        <v>19000.869582960408</v>
      </c>
      <c r="G12" s="32">
        <f t="shared" si="3"/>
        <v>20198.782863862038</v>
      </c>
      <c r="H12" s="32">
        <f t="shared" si="3"/>
        <v>21472.218805571116</v>
      </c>
      <c r="I12" s="32">
        <f t="shared" si="3"/>
        <v>22825.938747982917</v>
      </c>
      <c r="J12" s="32">
        <f t="shared" si="3"/>
        <v>24265.004210532952</v>
      </c>
      <c r="K12" s="32">
        <f t="shared" si="3"/>
        <v>25794.795817070706</v>
      </c>
      <c r="L12" s="32">
        <f t="shared" si="3"/>
        <v>27421.033413855497</v>
      </c>
      <c r="M12" s="32">
        <f t="shared" si="3"/>
        <v>29149.797455895045</v>
      </c>
      <c r="N12" s="32">
        <f t="shared" si="3"/>
        <v>30987.551741589617</v>
      </c>
      <c r="O12" s="32">
        <f t="shared" si="3"/>
        <v>32941.167580686022</v>
      </c>
      <c r="P12" s="87"/>
      <c r="Q12" s="87" t="str">
        <f>BS!C14</f>
        <v>Net Receivables</v>
      </c>
      <c r="R12" s="149">
        <f>365*E12/E7</f>
        <v>28.46004519399391</v>
      </c>
      <c r="S12" s="31">
        <f t="shared" ref="S12:AA12" si="4">R12</f>
        <v>28.46004519399391</v>
      </c>
      <c r="T12" s="31">
        <f t="shared" si="4"/>
        <v>28.46004519399391</v>
      </c>
      <c r="U12" s="31">
        <f t="shared" si="4"/>
        <v>28.46004519399391</v>
      </c>
      <c r="V12" s="31">
        <f t="shared" si="4"/>
        <v>28.46004519399391</v>
      </c>
      <c r="W12" s="31">
        <f t="shared" si="4"/>
        <v>28.46004519399391</v>
      </c>
      <c r="X12" s="31">
        <f t="shared" si="4"/>
        <v>28.46004519399391</v>
      </c>
      <c r="Y12" s="31">
        <f t="shared" si="4"/>
        <v>28.46004519399391</v>
      </c>
      <c r="Z12" s="31">
        <f t="shared" si="4"/>
        <v>28.46004519399391</v>
      </c>
      <c r="AA12" s="31">
        <f t="shared" si="4"/>
        <v>28.46004519399391</v>
      </c>
    </row>
    <row r="13" spans="3:27">
      <c r="C13" s="26" t="str">
        <f>BS!C15</f>
        <v>Inventory</v>
      </c>
      <c r="D13" s="124">
        <f>BS!D15</f>
        <v>2132</v>
      </c>
      <c r="E13" s="124">
        <f>BS!E15</f>
        <v>4855</v>
      </c>
      <c r="F13" s="32">
        <f>IF(F8=0,0,F8*R13/365)</f>
        <v>5161.0843585807761</v>
      </c>
      <c r="G13" s="32">
        <f t="shared" ref="G13:O13" si="5">IF(G8=0,0,G8*S13/365)</f>
        <v>5486.4658612537878</v>
      </c>
      <c r="H13" s="32">
        <f t="shared" si="5"/>
        <v>5832.3610999802931</v>
      </c>
      <c r="I13" s="32">
        <f t="shared" si="5"/>
        <v>6200.0633669831641</v>
      </c>
      <c r="J13" s="32">
        <f t="shared" si="5"/>
        <v>6590.9474903288283</v>
      </c>
      <c r="K13" s="32">
        <f t="shared" si="5"/>
        <v>7006.4749743693792</v>
      </c>
      <c r="L13" s="32">
        <f t="shared" si="5"/>
        <v>7448.199464264766</v>
      </c>
      <c r="M13" s="32">
        <f t="shared" si="5"/>
        <v>7917.7725550168079</v>
      </c>
      <c r="N13" s="32">
        <f t="shared" si="5"/>
        <v>8416.9499667347882</v>
      </c>
      <c r="O13" s="32">
        <f t="shared" si="5"/>
        <v>8947.5981092218099</v>
      </c>
      <c r="P13" s="87"/>
      <c r="Q13" s="87" t="str">
        <f>BS!C15</f>
        <v>Inventory</v>
      </c>
      <c r="R13" s="149">
        <f>365*E13/E8</f>
        <v>12.563630820713517</v>
      </c>
      <c r="S13" s="31">
        <f t="shared" ref="S13:AA13" si="6">R13</f>
        <v>12.563630820713517</v>
      </c>
      <c r="T13" s="31">
        <f t="shared" si="6"/>
        <v>12.563630820713517</v>
      </c>
      <c r="U13" s="31">
        <f t="shared" si="6"/>
        <v>12.563630820713517</v>
      </c>
      <c r="V13" s="31">
        <f t="shared" si="6"/>
        <v>12.563630820713517</v>
      </c>
      <c r="W13" s="31">
        <f t="shared" si="6"/>
        <v>12.563630820713517</v>
      </c>
      <c r="X13" s="31">
        <f t="shared" si="6"/>
        <v>12.563630820713517</v>
      </c>
      <c r="Y13" s="31">
        <f t="shared" si="6"/>
        <v>12.563630820713517</v>
      </c>
      <c r="Z13" s="31">
        <f t="shared" si="6"/>
        <v>12.563630820713517</v>
      </c>
      <c r="AA13" s="31">
        <f t="shared" si="6"/>
        <v>12.563630820713517</v>
      </c>
    </row>
    <row r="14" spans="3:27">
      <c r="C14" s="26" t="str">
        <f>BS!C16</f>
        <v>Other Current Assets</v>
      </c>
      <c r="D14" s="124">
        <f>BS!D16</f>
        <v>21828</v>
      </c>
      <c r="E14" s="124">
        <f>BS!E16</f>
        <v>31735</v>
      </c>
      <c r="F14" s="32">
        <f t="shared" ref="F14:O14" si="7">F7*R14</f>
        <v>33735.738850578971</v>
      </c>
      <c r="G14" s="32">
        <f t="shared" si="7"/>
        <v>35862.614646115129</v>
      </c>
      <c r="H14" s="32">
        <f t="shared" si="7"/>
        <v>38123.579713259445</v>
      </c>
      <c r="I14" s="32">
        <f t="shared" si="7"/>
        <v>40527.087734543908</v>
      </c>
      <c r="J14" s="32">
        <f t="shared" si="7"/>
        <v>43082.125356454249</v>
      </c>
      <c r="K14" s="32">
        <f t="shared" si="7"/>
        <v>45798.245790239387</v>
      </c>
      <c r="L14" s="32">
        <f t="shared" si="7"/>
        <v>48685.604531090088</v>
      </c>
      <c r="M14" s="32">
        <f t="shared" si="7"/>
        <v>51754.997329239632</v>
      </c>
      <c r="N14" s="32">
        <f t="shared" si="7"/>
        <v>55017.900554959524</v>
      </c>
      <c r="O14" s="32">
        <f t="shared" si="7"/>
        <v>58486.514108373667</v>
      </c>
      <c r="P14" s="87"/>
      <c r="Q14" s="87" t="str">
        <f>BS!C16</f>
        <v>Other Current Assets</v>
      </c>
      <c r="R14" s="114">
        <f>E14/E7</f>
        <v>0.13843932400952738</v>
      </c>
      <c r="S14" s="150">
        <f t="shared" ref="S14:AA14" si="8">R14</f>
        <v>0.13843932400952738</v>
      </c>
      <c r="T14" s="150">
        <f t="shared" si="8"/>
        <v>0.13843932400952738</v>
      </c>
      <c r="U14" s="150">
        <f t="shared" si="8"/>
        <v>0.13843932400952738</v>
      </c>
      <c r="V14" s="150">
        <f t="shared" si="8"/>
        <v>0.13843932400952738</v>
      </c>
      <c r="W14" s="150">
        <f t="shared" si="8"/>
        <v>0.13843932400952738</v>
      </c>
      <c r="X14" s="150">
        <f t="shared" si="8"/>
        <v>0.13843932400952738</v>
      </c>
      <c r="Y14" s="150">
        <f t="shared" si="8"/>
        <v>0.13843932400952738</v>
      </c>
      <c r="Z14" s="150">
        <f t="shared" si="8"/>
        <v>0.13843932400952738</v>
      </c>
      <c r="AA14" s="150">
        <f t="shared" si="8"/>
        <v>0.13843932400952738</v>
      </c>
    </row>
    <row r="15" spans="3:27">
      <c r="C15" s="3" t="s">
        <v>128</v>
      </c>
      <c r="D15" s="151">
        <f t="shared" ref="D15:O15" si="9">SUM(D11:D14)</f>
        <v>39714</v>
      </c>
      <c r="E15" s="151">
        <f t="shared" si="9"/>
        <v>54464</v>
      </c>
      <c r="F15" s="151">
        <f t="shared" si="9"/>
        <v>57897.692792120157</v>
      </c>
      <c r="G15" s="151">
        <f t="shared" si="9"/>
        <v>61547.863371230953</v>
      </c>
      <c r="H15" s="151">
        <f t="shared" si="9"/>
        <v>65428.159618810852</v>
      </c>
      <c r="I15" s="151">
        <f t="shared" si="9"/>
        <v>69553.089849509997</v>
      </c>
      <c r="J15" s="151">
        <f t="shared" si="9"/>
        <v>73938.077057316026</v>
      </c>
      <c r="K15" s="151">
        <f t="shared" si="9"/>
        <v>78599.516581679462</v>
      </c>
      <c r="L15" s="151">
        <f t="shared" si="9"/>
        <v>83554.837409210362</v>
      </c>
      <c r="M15" s="151">
        <f t="shared" si="9"/>
        <v>88822.567340151494</v>
      </c>
      <c r="N15" s="151">
        <f t="shared" si="9"/>
        <v>94422.402263283933</v>
      </c>
      <c r="O15" s="151">
        <f t="shared" si="9"/>
        <v>100375.2797982815</v>
      </c>
      <c r="P15" s="87"/>
      <c r="Q15" s="87"/>
      <c r="R15" s="87"/>
      <c r="S15" s="87"/>
      <c r="T15" s="87"/>
      <c r="U15" s="87"/>
      <c r="V15" s="87"/>
      <c r="W15" s="87"/>
      <c r="X15" s="87"/>
      <c r="Y15" s="87"/>
      <c r="Z15" s="87"/>
      <c r="AA15" s="87"/>
    </row>
    <row r="16" spans="3:27">
      <c r="D16" s="87"/>
      <c r="E16" s="87"/>
      <c r="F16" s="87"/>
      <c r="G16" s="87"/>
      <c r="H16" s="87"/>
      <c r="I16" s="87"/>
      <c r="J16" s="87"/>
      <c r="K16" s="87"/>
      <c r="L16" s="87"/>
      <c r="M16" s="87"/>
      <c r="N16" s="87"/>
      <c r="O16" s="87"/>
      <c r="P16" s="87"/>
      <c r="Q16" s="87"/>
      <c r="R16" s="87"/>
      <c r="S16" s="87"/>
      <c r="T16" s="87"/>
      <c r="U16" s="87"/>
      <c r="V16" s="87"/>
      <c r="W16" s="87"/>
      <c r="X16" s="87"/>
      <c r="Y16" s="87"/>
      <c r="Z16" s="87"/>
      <c r="AA16" s="87"/>
    </row>
    <row r="17" spans="3:27">
      <c r="C17" s="3" t="s">
        <v>129</v>
      </c>
      <c r="D17" s="87"/>
      <c r="E17" s="87"/>
      <c r="F17" s="87"/>
      <c r="G17" s="87"/>
      <c r="H17" s="87"/>
      <c r="I17" s="87"/>
      <c r="J17" s="87"/>
      <c r="K17" s="87"/>
      <c r="L17" s="87"/>
      <c r="M17" s="87"/>
      <c r="N17" s="87"/>
      <c r="O17" s="87"/>
      <c r="P17" s="87"/>
      <c r="Q17" s="87"/>
      <c r="R17" s="87"/>
      <c r="S17" s="87"/>
      <c r="T17" s="87"/>
      <c r="U17" s="87"/>
      <c r="V17" s="87"/>
      <c r="W17" s="87"/>
      <c r="X17" s="87"/>
      <c r="Y17" s="87"/>
      <c r="Z17" s="87"/>
      <c r="AA17" s="87"/>
    </row>
    <row r="18" spans="3:27">
      <c r="C18" s="26" t="str">
        <f>BS!C30</f>
        <v>Accounts Payable</v>
      </c>
      <c r="D18" s="123">
        <f>BS!D30</f>
        <v>37294</v>
      </c>
      <c r="E18" s="123">
        <f>BS!E30</f>
        <v>49049</v>
      </c>
      <c r="F18" s="148">
        <f>F7*R18/365</f>
        <v>52141.30313162275</v>
      </c>
      <c r="G18" s="148">
        <f t="shared" ref="G18:O18" si="10">G7*S18/365</f>
        <v>55428.561076959224</v>
      </c>
      <c r="H18" s="148">
        <f t="shared" si="10"/>
        <v>58923.064797720581</v>
      </c>
      <c r="I18" s="148">
        <f t="shared" si="10"/>
        <v>62637.880141535985</v>
      </c>
      <c r="J18" s="148">
        <f t="shared" si="10"/>
        <v>66586.896694776253</v>
      </c>
      <c r="K18" s="148">
        <f t="shared" si="10"/>
        <v>70784.879715312796</v>
      </c>
      <c r="L18" s="148">
        <f t="shared" si="10"/>
        <v>75247.525339386732</v>
      </c>
      <c r="M18" s="148">
        <f t="shared" si="10"/>
        <v>79991.519269005032</v>
      </c>
      <c r="N18" s="148">
        <f t="shared" si="10"/>
        <v>85034.599159294463</v>
      </c>
      <c r="O18" s="148">
        <f t="shared" si="10"/>
        <v>90395.620939077358</v>
      </c>
      <c r="P18" s="87"/>
      <c r="Q18" s="87" t="str">
        <f>BS!C30</f>
        <v>Accounts Payable</v>
      </c>
      <c r="R18" s="149">
        <f>365*E18/E7</f>
        <v>78.098733172217038</v>
      </c>
      <c r="S18" s="31">
        <f t="shared" ref="S18:AA18" si="11">R18</f>
        <v>78.098733172217038</v>
      </c>
      <c r="T18" s="31">
        <f t="shared" si="11"/>
        <v>78.098733172217038</v>
      </c>
      <c r="U18" s="31">
        <f t="shared" si="11"/>
        <v>78.098733172217038</v>
      </c>
      <c r="V18" s="31">
        <f t="shared" si="11"/>
        <v>78.098733172217038</v>
      </c>
      <c r="W18" s="31">
        <f t="shared" si="11"/>
        <v>78.098733172217038</v>
      </c>
      <c r="X18" s="31">
        <f t="shared" si="11"/>
        <v>78.098733172217038</v>
      </c>
      <c r="Y18" s="31">
        <f t="shared" si="11"/>
        <v>78.098733172217038</v>
      </c>
      <c r="Z18" s="31">
        <f t="shared" si="11"/>
        <v>78.098733172217038</v>
      </c>
      <c r="AA18" s="31">
        <f t="shared" si="11"/>
        <v>78.098733172217038</v>
      </c>
    </row>
    <row r="19" spans="3:27">
      <c r="C19" s="26" t="str">
        <f>BS!C31</f>
        <v>Other Current Liabilities</v>
      </c>
      <c r="D19" s="124">
        <f>BS!D31</f>
        <v>30107</v>
      </c>
      <c r="E19" s="124">
        <f>BS!E31</f>
        <v>33292</v>
      </c>
      <c r="F19" s="32">
        <f t="shared" ref="F19:O19" si="12">F7*R19</f>
        <v>35390.9001989436</v>
      </c>
      <c r="G19" s="32">
        <f t="shared" si="12"/>
        <v>37622.125942916806</v>
      </c>
      <c r="H19" s="32">
        <f t="shared" si="12"/>
        <v>39994.01971998845</v>
      </c>
      <c r="I19" s="32">
        <f t="shared" si="12"/>
        <v>42515.449971905968</v>
      </c>
      <c r="J19" s="32">
        <f t="shared" si="12"/>
        <v>45195.844252940755</v>
      </c>
      <c r="K19" s="32">
        <f t="shared" si="12"/>
        <v>48045.224479239005</v>
      </c>
      <c r="L19" s="32">
        <f t="shared" si="12"/>
        <v>51074.244400474279</v>
      </c>
      <c r="M19" s="32">
        <f t="shared" si="12"/>
        <v>54294.229433907225</v>
      </c>
      <c r="N19" s="32">
        <f t="shared" si="12"/>
        <v>57717.219009790839</v>
      </c>
      <c r="O19" s="32">
        <f t="shared" si="12"/>
        <v>61356.011586449538</v>
      </c>
      <c r="P19" s="87"/>
      <c r="Q19" s="87" t="str">
        <f>BS!C31</f>
        <v>Other Current Liabilities</v>
      </c>
      <c r="R19" s="114">
        <f>E19/E7</f>
        <v>0.14523151015992392</v>
      </c>
      <c r="S19" s="150">
        <f t="shared" ref="S19:AA19" si="13">R19</f>
        <v>0.14523151015992392</v>
      </c>
      <c r="T19" s="150">
        <f t="shared" si="13"/>
        <v>0.14523151015992392</v>
      </c>
      <c r="U19" s="150">
        <f t="shared" si="13"/>
        <v>0.14523151015992392</v>
      </c>
      <c r="V19" s="150">
        <f t="shared" si="13"/>
        <v>0.14523151015992392</v>
      </c>
      <c r="W19" s="150">
        <f t="shared" si="13"/>
        <v>0.14523151015992392</v>
      </c>
      <c r="X19" s="150">
        <f t="shared" si="13"/>
        <v>0.14523151015992392</v>
      </c>
      <c r="Y19" s="150">
        <f t="shared" si="13"/>
        <v>0.14523151015992392</v>
      </c>
      <c r="Z19" s="150">
        <f t="shared" si="13"/>
        <v>0.14523151015992392</v>
      </c>
      <c r="AA19" s="150">
        <f t="shared" si="13"/>
        <v>0.14523151015992392</v>
      </c>
    </row>
    <row r="20" spans="3:27">
      <c r="C20" s="3" t="s">
        <v>130</v>
      </c>
      <c r="D20" s="151">
        <f t="shared" ref="D20" si="14">SUM(D18:D19)</f>
        <v>67401</v>
      </c>
      <c r="E20" s="151">
        <f t="shared" ref="E20:O20" si="15">SUM(E18:E19)</f>
        <v>82341</v>
      </c>
      <c r="F20" s="151">
        <f t="shared" si="15"/>
        <v>87532.20333056635</v>
      </c>
      <c r="G20" s="151">
        <f t="shared" si="15"/>
        <v>93050.68701987603</v>
      </c>
      <c r="H20" s="151">
        <f t="shared" si="15"/>
        <v>98917.084517709038</v>
      </c>
      <c r="I20" s="151">
        <f t="shared" si="15"/>
        <v>105153.33011344195</v>
      </c>
      <c r="J20" s="151">
        <f t="shared" si="15"/>
        <v>111782.74094771701</v>
      </c>
      <c r="K20" s="151">
        <f t="shared" si="15"/>
        <v>118830.10419455179</v>
      </c>
      <c r="L20" s="151">
        <f t="shared" si="15"/>
        <v>126321.76973986102</v>
      </c>
      <c r="M20" s="151">
        <f t="shared" si="15"/>
        <v>134285.74870291224</v>
      </c>
      <c r="N20" s="151">
        <f t="shared" si="15"/>
        <v>142751.81816908531</v>
      </c>
      <c r="O20" s="151">
        <f t="shared" si="15"/>
        <v>151751.63252552689</v>
      </c>
      <c r="P20" s="87"/>
      <c r="Q20" s="87"/>
      <c r="R20" s="87"/>
      <c r="S20" s="87"/>
      <c r="T20" s="87"/>
      <c r="U20" s="87"/>
      <c r="V20" s="87"/>
      <c r="W20" s="87"/>
      <c r="X20" s="87"/>
      <c r="Y20" s="87"/>
      <c r="Z20" s="87"/>
      <c r="AA20" s="87"/>
    </row>
    <row r="21" spans="3:27">
      <c r="D21" s="87"/>
      <c r="E21" s="87"/>
      <c r="F21" s="87"/>
      <c r="G21" s="87"/>
      <c r="H21" s="87"/>
      <c r="I21" s="87"/>
      <c r="J21" s="87"/>
      <c r="K21" s="87"/>
      <c r="L21" s="87"/>
      <c r="M21" s="87"/>
      <c r="N21" s="87"/>
      <c r="O21" s="87"/>
      <c r="P21" s="87"/>
      <c r="Q21" s="87"/>
      <c r="R21" s="87"/>
      <c r="S21" s="87"/>
      <c r="T21" s="87"/>
      <c r="U21" s="87"/>
      <c r="V21" s="87"/>
      <c r="W21" s="87"/>
      <c r="X21" s="87"/>
      <c r="Y21" s="87"/>
      <c r="Z21" s="87"/>
      <c r="AA21" s="87"/>
    </row>
    <row r="22" spans="3:27">
      <c r="C22" s="33" t="s">
        <v>131</v>
      </c>
      <c r="D22" s="152">
        <f t="shared" ref="D22" si="16">D15-D20</f>
        <v>-27687</v>
      </c>
      <c r="E22" s="152">
        <f t="shared" ref="E22:O22" si="17">E15-E20</f>
        <v>-27877</v>
      </c>
      <c r="F22" s="152">
        <f t="shared" si="17"/>
        <v>-29634.510538446193</v>
      </c>
      <c r="G22" s="152">
        <f t="shared" si="17"/>
        <v>-31502.823648645077</v>
      </c>
      <c r="H22" s="152">
        <f t="shared" si="17"/>
        <v>-33488.924898898185</v>
      </c>
      <c r="I22" s="152">
        <f t="shared" si="17"/>
        <v>-35600.240263931948</v>
      </c>
      <c r="J22" s="152">
        <f t="shared" si="17"/>
        <v>-37844.663890400989</v>
      </c>
      <c r="K22" s="152">
        <f t="shared" si="17"/>
        <v>-40230.587612872332</v>
      </c>
      <c r="L22" s="152">
        <f t="shared" si="17"/>
        <v>-42766.932330650656</v>
      </c>
      <c r="M22" s="152">
        <f t="shared" si="17"/>
        <v>-45463.181362760748</v>
      </c>
      <c r="N22" s="152">
        <f t="shared" si="17"/>
        <v>-48329.415905801376</v>
      </c>
      <c r="O22" s="153">
        <f t="shared" si="17"/>
        <v>-51376.352727245394</v>
      </c>
      <c r="P22" s="87"/>
      <c r="Q22" s="87"/>
      <c r="R22" s="87"/>
      <c r="S22" s="87"/>
      <c r="T22" s="87"/>
      <c r="U22" s="87"/>
      <c r="V22" s="87"/>
      <c r="W22" s="87"/>
      <c r="X22" s="87"/>
      <c r="Y22" s="87"/>
      <c r="Z22" s="87"/>
      <c r="AA22" s="87"/>
    </row>
    <row r="23" spans="3:27">
      <c r="C23" s="34" t="s">
        <v>132</v>
      </c>
      <c r="D23" s="154"/>
      <c r="E23" s="155">
        <f t="shared" ref="E23:O23" si="18">E22-D22</f>
        <v>-190</v>
      </c>
      <c r="F23" s="155">
        <f t="shared" si="18"/>
        <v>-1757.5105384461931</v>
      </c>
      <c r="G23" s="155">
        <f t="shared" si="18"/>
        <v>-1868.3131101988838</v>
      </c>
      <c r="H23" s="155">
        <f t="shared" si="18"/>
        <v>-1986.1012502531084</v>
      </c>
      <c r="I23" s="155">
        <f t="shared" si="18"/>
        <v>-2111.3153650337626</v>
      </c>
      <c r="J23" s="155">
        <f t="shared" si="18"/>
        <v>-2244.4236264690408</v>
      </c>
      <c r="K23" s="155">
        <f t="shared" si="18"/>
        <v>-2385.9237224713434</v>
      </c>
      <c r="L23" s="155">
        <f t="shared" si="18"/>
        <v>-2536.3447177783237</v>
      </c>
      <c r="M23" s="155">
        <f t="shared" si="18"/>
        <v>-2696.2490321100922</v>
      </c>
      <c r="N23" s="155">
        <f t="shared" si="18"/>
        <v>-2866.2345430406276</v>
      </c>
      <c r="O23" s="156">
        <f t="shared" si="18"/>
        <v>-3046.9368214440183</v>
      </c>
      <c r="P23" s="87"/>
      <c r="Q23" s="87"/>
      <c r="R23" s="87"/>
      <c r="S23" s="87"/>
      <c r="T23" s="87"/>
      <c r="U23" s="87"/>
      <c r="V23" s="87"/>
      <c r="W23" s="87"/>
      <c r="X23" s="87"/>
      <c r="Y23" s="87"/>
      <c r="Z23" s="87"/>
      <c r="AA23" s="87"/>
    </row>
    <row r="24" spans="3:27">
      <c r="D24" s="87"/>
    </row>
  </sheetData>
  <pageMargins left="0.7" right="0.7" top="0.75" bottom="0.75" header="0.3" footer="0.3"/>
  <pageSetup scale="75"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32523"/>
    <pageSetUpPr fitToPage="1"/>
  </sheetPr>
  <dimension ref="B1:O49"/>
  <sheetViews>
    <sheetView view="pageBreakPreview" zoomScale="75" zoomScaleNormal="82" zoomScaleSheetLayoutView="75" workbookViewId="0"/>
  </sheetViews>
  <sheetFormatPr defaultColWidth="9.140625" defaultRowHeight="15"/>
  <cols>
    <col min="1" max="1" width="0.85546875" style="1" customWidth="1"/>
    <col min="2" max="2" width="50" style="1" bestFit="1" customWidth="1"/>
    <col min="3" max="3" width="0.85546875" style="1" customWidth="1"/>
    <col min="4" max="4" width="12.7109375" style="1" bestFit="1" customWidth="1"/>
    <col min="5" max="6" width="11" style="1" bestFit="1" customWidth="1"/>
    <col min="7" max="8" width="12" style="1" bestFit="1" customWidth="1"/>
    <col min="9" max="9" width="13" style="1" bestFit="1" customWidth="1"/>
    <col min="10" max="11" width="13.42578125" style="1" bestFit="1" customWidth="1"/>
    <col min="12" max="12" width="14" style="1" bestFit="1" customWidth="1"/>
    <col min="13" max="13" width="14.85546875" style="1" bestFit="1" customWidth="1"/>
    <col min="14" max="16" width="9.140625" style="1" customWidth="1"/>
    <col min="17" max="16384" width="9.140625" style="1"/>
  </cols>
  <sheetData>
    <row r="1" spans="2:15">
      <c r="B1" s="7"/>
    </row>
    <row r="3" spans="2:15">
      <c r="B3" s="8"/>
      <c r="C3" s="8"/>
      <c r="D3" s="8"/>
      <c r="E3" s="8"/>
      <c r="F3" s="8"/>
      <c r="G3" s="8"/>
      <c r="H3" s="8"/>
      <c r="I3" s="8"/>
      <c r="J3" s="8"/>
      <c r="K3" s="8"/>
      <c r="L3" s="8"/>
      <c r="M3" s="8"/>
    </row>
    <row r="4" spans="2:15">
      <c r="B4" s="8"/>
      <c r="C4" s="8"/>
      <c r="D4" s="9" t="s">
        <v>133</v>
      </c>
      <c r="E4" s="9"/>
      <c r="F4" s="9"/>
      <c r="G4" s="9"/>
      <c r="H4" s="9"/>
      <c r="I4" s="9"/>
      <c r="J4" s="9"/>
      <c r="K4" s="9"/>
      <c r="L4" s="9"/>
      <c r="M4" s="9"/>
    </row>
    <row r="5" spans="2:15" ht="3" customHeight="1">
      <c r="B5" s="8"/>
      <c r="C5" s="8"/>
      <c r="D5" s="10"/>
      <c r="E5" s="10"/>
      <c r="F5" s="10"/>
      <c r="G5" s="10"/>
      <c r="H5" s="10"/>
      <c r="I5" s="10"/>
      <c r="J5" s="10"/>
      <c r="K5" s="10"/>
      <c r="L5" s="10"/>
      <c r="M5" s="10"/>
    </row>
    <row r="6" spans="2:15">
      <c r="B6" s="8"/>
      <c r="C6" s="8"/>
      <c r="D6" s="157">
        <f>IS!H5</f>
        <v>2018</v>
      </c>
      <c r="E6" s="157">
        <f>IS!I5</f>
        <v>2019</v>
      </c>
      <c r="F6" s="157">
        <f>IS!J5</f>
        <v>2020</v>
      </c>
      <c r="G6" s="157">
        <f>IS!K5</f>
        <v>2021</v>
      </c>
      <c r="H6" s="157">
        <f>IS!L5</f>
        <v>2022</v>
      </c>
      <c r="I6" s="157">
        <f>IS!M5</f>
        <v>2023</v>
      </c>
      <c r="J6" s="157">
        <f>IS!N5</f>
        <v>2024</v>
      </c>
      <c r="K6" s="157">
        <f>IS!O5</f>
        <v>2025</v>
      </c>
      <c r="L6" s="157">
        <f>IS!P5</f>
        <v>2026</v>
      </c>
      <c r="M6" s="157">
        <f>IS!Q5</f>
        <v>2027</v>
      </c>
    </row>
    <row r="7" spans="2:15" ht="3" customHeight="1">
      <c r="B7" s="8"/>
      <c r="C7" s="8"/>
      <c r="D7" s="158"/>
      <c r="E7" s="158"/>
      <c r="F7" s="158"/>
      <c r="G7" s="158"/>
      <c r="H7" s="158"/>
      <c r="I7" s="158"/>
      <c r="J7" s="158"/>
      <c r="K7" s="158"/>
      <c r="L7" s="158"/>
      <c r="M7" s="158"/>
    </row>
    <row r="8" spans="2:15">
      <c r="B8" s="8" t="s">
        <v>134</v>
      </c>
      <c r="C8" s="8"/>
      <c r="D8" s="123">
        <f>IS!H9</f>
        <v>243686.09924920814</v>
      </c>
      <c r="E8" s="123">
        <f>IS!I9</f>
        <v>259049.33372577769</v>
      </c>
      <c r="F8" s="123">
        <f>IS!J9</f>
        <v>275381.14611593873</v>
      </c>
      <c r="G8" s="123">
        <f>IS!K9</f>
        <v>292742.60059052904</v>
      </c>
      <c r="H8" s="123">
        <f>IS!L9</f>
        <v>311198.61112215009</v>
      </c>
      <c r="I8" s="123">
        <f>IS!M9</f>
        <v>330818.18419662002</v>
      </c>
      <c r="J8" s="123">
        <f>IS!N9</f>
        <v>351674.67682621413</v>
      </c>
      <c r="K8" s="123">
        <f>IS!O9</f>
        <v>373846.07082939713</v>
      </c>
      <c r="L8" s="123">
        <f>IS!P9</f>
        <v>397415.26440257102</v>
      </c>
      <c r="M8" s="123">
        <f>IS!Q9</f>
        <v>422470.38207401702</v>
      </c>
    </row>
    <row r="9" spans="2:15">
      <c r="B9" s="8" t="s">
        <v>18</v>
      </c>
      <c r="C9" s="8"/>
      <c r="D9" s="124">
        <f>IS!H28</f>
        <v>76008.793557751618</v>
      </c>
      <c r="E9" s="124">
        <f>IS!I28</f>
        <v>80800.781780742953</v>
      </c>
      <c r="F9" s="124">
        <f>IS!J28</f>
        <v>85894.881773365822</v>
      </c>
      <c r="G9" s="124">
        <f>IS!K28</f>
        <v>91310.140227119089</v>
      </c>
      <c r="H9" s="124">
        <f>IS!L28</f>
        <v>97066.804635633729</v>
      </c>
      <c r="I9" s="124">
        <f>IS!M28</f>
        <v>103186.39899946138</v>
      </c>
      <c r="J9" s="124">
        <f>IS!N28</f>
        <v>109691.80430368592</v>
      </c>
      <c r="K9" s="124">
        <f>IS!O28</f>
        <v>116607.34406925994</v>
      </c>
      <c r="L9" s="124">
        <f>IS!P28</f>
        <v>123958.87529794109</v>
      </c>
      <c r="M9" s="124">
        <f>IS!Q28</f>
        <v>131773.88515086891</v>
      </c>
    </row>
    <row r="10" spans="2:15">
      <c r="B10" s="8" t="s">
        <v>135</v>
      </c>
      <c r="C10" s="8"/>
      <c r="D10" s="124">
        <f>IS!H26</f>
        <v>10797.34991351286</v>
      </c>
      <c r="E10" s="124">
        <f>IS!I26</f>
        <v>11478.070803862971</v>
      </c>
      <c r="F10" s="124">
        <f>IS!J26</f>
        <v>12201.707866632305</v>
      </c>
      <c r="G10" s="124">
        <f>IS!K26</f>
        <v>12970.966759721523</v>
      </c>
      <c r="H10" s="124">
        <f>IS!L26</f>
        <v>13788.723719726038</v>
      </c>
      <c r="I10" s="124">
        <f>IS!M26</f>
        <v>14658.036316100883</v>
      </c>
      <c r="J10" s="124">
        <f>IS!N26</f>
        <v>15582.154883323839</v>
      </c>
      <c r="K10" s="124">
        <f>IS!O26</f>
        <v>16564.534673801387</v>
      </c>
      <c r="L10" s="124">
        <f>IS!P26</f>
        <v>17608.848776956795</v>
      </c>
      <c r="M10" s="124">
        <f>IS!Q26</f>
        <v>18719.001852804518</v>
      </c>
    </row>
    <row r="11" spans="2:15">
      <c r="B11" s="8" t="s">
        <v>15</v>
      </c>
      <c r="C11" s="8"/>
      <c r="D11" s="11">
        <f>D9-D10</f>
        <v>65211.44364423876</v>
      </c>
      <c r="E11" s="11">
        <f t="shared" ref="E11:M11" si="0">E9-E10</f>
        <v>69322.710976879986</v>
      </c>
      <c r="F11" s="11">
        <f t="shared" si="0"/>
        <v>73693.173906733515</v>
      </c>
      <c r="G11" s="11">
        <f t="shared" si="0"/>
        <v>78339.173467397573</v>
      </c>
      <c r="H11" s="11">
        <f t="shared" si="0"/>
        <v>83278.080915907689</v>
      </c>
      <c r="I11" s="11">
        <f t="shared" si="0"/>
        <v>88528.362683360494</v>
      </c>
      <c r="J11" s="11">
        <f t="shared" si="0"/>
        <v>94109.649420362082</v>
      </c>
      <c r="K11" s="11">
        <f t="shared" si="0"/>
        <v>100042.80939545855</v>
      </c>
      <c r="L11" s="11">
        <f t="shared" si="0"/>
        <v>106350.02652098431</v>
      </c>
      <c r="M11" s="11">
        <f t="shared" si="0"/>
        <v>113054.88329806439</v>
      </c>
    </row>
    <row r="12" spans="2:15">
      <c r="B12" s="8" t="str">
        <f>"Taxes @ " &amp; TEXT($O$12,"00.0%")</f>
        <v>Taxes @ 35.0%</v>
      </c>
      <c r="C12" s="8"/>
      <c r="D12" s="93">
        <f>D11*$O$12</f>
        <v>22824.005275483563</v>
      </c>
      <c r="E12" s="93">
        <f t="shared" ref="E12:M12" si="1">E11*$O$12</f>
        <v>24262.948841907993</v>
      </c>
      <c r="F12" s="93">
        <f t="shared" si="1"/>
        <v>25792.610867356729</v>
      </c>
      <c r="G12" s="93">
        <f t="shared" si="1"/>
        <v>27418.710713589149</v>
      </c>
      <c r="H12" s="93">
        <f t="shared" si="1"/>
        <v>29147.328320567689</v>
      </c>
      <c r="I12" s="93">
        <f t="shared" si="1"/>
        <v>30984.92693917617</v>
      </c>
      <c r="J12" s="93">
        <f t="shared" si="1"/>
        <v>32938.377297126724</v>
      </c>
      <c r="K12" s="93">
        <f t="shared" si="1"/>
        <v>35014.983288410491</v>
      </c>
      <c r="L12" s="93">
        <f t="shared" si="1"/>
        <v>37222.509282344501</v>
      </c>
      <c r="M12" s="93">
        <f t="shared" si="1"/>
        <v>39569.209154322532</v>
      </c>
      <c r="O12" s="92">
        <v>0.35</v>
      </c>
    </row>
    <row r="13" spans="2:15">
      <c r="B13" s="12" t="s">
        <v>136</v>
      </c>
      <c r="C13" s="8"/>
      <c r="D13" s="20">
        <f>D11-D12</f>
        <v>42387.438368755196</v>
      </c>
      <c r="E13" s="20">
        <f t="shared" ref="E13:M13" si="2">E11-E12</f>
        <v>45059.762134971992</v>
      </c>
      <c r="F13" s="20">
        <f t="shared" si="2"/>
        <v>47900.563039376786</v>
      </c>
      <c r="G13" s="20">
        <f t="shared" si="2"/>
        <v>50920.462753808424</v>
      </c>
      <c r="H13" s="20">
        <f t="shared" si="2"/>
        <v>54130.752595340004</v>
      </c>
      <c r="I13" s="20">
        <f t="shared" si="2"/>
        <v>57543.435744184324</v>
      </c>
      <c r="J13" s="20">
        <f t="shared" si="2"/>
        <v>61171.272123235358</v>
      </c>
      <c r="K13" s="20">
        <f t="shared" si="2"/>
        <v>65027.826107048058</v>
      </c>
      <c r="L13" s="20">
        <f t="shared" si="2"/>
        <v>69127.517238639804</v>
      </c>
      <c r="M13" s="20">
        <f t="shared" si="2"/>
        <v>73485.674143741868</v>
      </c>
    </row>
    <row r="14" spans="2:15" ht="6" customHeight="1">
      <c r="B14" s="8"/>
      <c r="C14" s="8"/>
      <c r="D14" s="4"/>
      <c r="E14" s="4"/>
      <c r="F14" s="4"/>
      <c r="G14" s="4"/>
      <c r="H14" s="4"/>
      <c r="I14" s="4"/>
      <c r="J14" s="4"/>
      <c r="K14" s="4"/>
      <c r="L14" s="4"/>
      <c r="M14" s="4"/>
    </row>
    <row r="15" spans="2:15">
      <c r="B15" s="8" t="s">
        <v>137</v>
      </c>
      <c r="C15" s="8"/>
      <c r="D15" s="124">
        <f>D10</f>
        <v>10797.34991351286</v>
      </c>
      <c r="E15" s="124">
        <f t="shared" ref="E15:M15" si="3">E10</f>
        <v>11478.070803862971</v>
      </c>
      <c r="F15" s="124">
        <f t="shared" si="3"/>
        <v>12201.707866632305</v>
      </c>
      <c r="G15" s="124">
        <f t="shared" si="3"/>
        <v>12970.966759721523</v>
      </c>
      <c r="H15" s="124">
        <f t="shared" si="3"/>
        <v>13788.723719726038</v>
      </c>
      <c r="I15" s="124">
        <f t="shared" si="3"/>
        <v>14658.036316100883</v>
      </c>
      <c r="J15" s="124">
        <f t="shared" si="3"/>
        <v>15582.154883323839</v>
      </c>
      <c r="K15" s="124">
        <f t="shared" si="3"/>
        <v>16564.534673801387</v>
      </c>
      <c r="L15" s="124">
        <f t="shared" si="3"/>
        <v>17608.848776956795</v>
      </c>
      <c r="M15" s="124">
        <f t="shared" si="3"/>
        <v>18719.001852804518</v>
      </c>
    </row>
    <row r="16" spans="2:15">
      <c r="B16" s="8" t="s">
        <v>138</v>
      </c>
      <c r="C16" s="8"/>
      <c r="D16" s="124">
        <f>-IS!H45</f>
        <v>-13601.663103612982</v>
      </c>
      <c r="E16" s="124">
        <f>-IS!I45</f>
        <v>-14459.182429401073</v>
      </c>
      <c r="F16" s="124">
        <f>-IS!J45</f>
        <v>-15370.764217146827</v>
      </c>
      <c r="G16" s="124">
        <f>-IS!K45</f>
        <v>-16339.816844603414</v>
      </c>
      <c r="H16" s="124">
        <f>-IS!L45</f>
        <v>-17369.963571319746</v>
      </c>
      <c r="I16" s="124">
        <f>-IS!M45</f>
        <v>-18465.056085902408</v>
      </c>
      <c r="J16" s="124">
        <f>-IS!N45</f>
        <v>-19629.188907367188</v>
      </c>
      <c r="K16" s="124">
        <f>-IS!O45</f>
        <v>-20866.714694426377</v>
      </c>
      <c r="L16" s="124">
        <f>-IS!P45</f>
        <v>-22182.260519952957</v>
      </c>
      <c r="M16" s="124">
        <f>-IS!Q45</f>
        <v>-23580.745171471281</v>
      </c>
    </row>
    <row r="17" spans="2:13">
      <c r="B17" s="13" t="s">
        <v>139</v>
      </c>
      <c r="C17" s="8"/>
      <c r="D17" s="124">
        <f>-WC!F23</f>
        <v>1757.5105384461931</v>
      </c>
      <c r="E17" s="124">
        <f>-WC!G23</f>
        <v>1868.3131101988838</v>
      </c>
      <c r="F17" s="124">
        <f>-WC!H23</f>
        <v>1986.1012502531084</v>
      </c>
      <c r="G17" s="124">
        <f>-WC!I23</f>
        <v>2111.3153650337626</v>
      </c>
      <c r="H17" s="124">
        <f>-WC!J23</f>
        <v>2244.4236264690408</v>
      </c>
      <c r="I17" s="124">
        <f>-WC!K23</f>
        <v>2385.9237224713434</v>
      </c>
      <c r="J17" s="124">
        <f>-WC!L23</f>
        <v>2536.3447177783237</v>
      </c>
      <c r="K17" s="124">
        <f>-WC!M23</f>
        <v>2696.2490321100922</v>
      </c>
      <c r="L17" s="124">
        <f>-WC!N23</f>
        <v>2866.2345430406276</v>
      </c>
      <c r="M17" s="124">
        <f>-WC!O23</f>
        <v>3046.9368214440183</v>
      </c>
    </row>
    <row r="18" spans="2:13">
      <c r="B18" s="14" t="s">
        <v>140</v>
      </c>
      <c r="C18" s="15"/>
      <c r="D18" s="21">
        <f>D13+D15+D16+D17</f>
        <v>41340.635717101264</v>
      </c>
      <c r="E18" s="21">
        <f t="shared" ref="E18:M18" si="4">E13+E15+E16+E17</f>
        <v>43946.963619632777</v>
      </c>
      <c r="F18" s="21">
        <f t="shared" si="4"/>
        <v>46717.607939115376</v>
      </c>
      <c r="G18" s="21">
        <f t="shared" si="4"/>
        <v>49662.928033960299</v>
      </c>
      <c r="H18" s="21">
        <f t="shared" si="4"/>
        <v>52793.936370215335</v>
      </c>
      <c r="I18" s="21">
        <f t="shared" si="4"/>
        <v>56122.339696854135</v>
      </c>
      <c r="J18" s="21">
        <f t="shared" si="4"/>
        <v>59660.582816970331</v>
      </c>
      <c r="K18" s="21">
        <f t="shared" si="4"/>
        <v>63421.895118533153</v>
      </c>
      <c r="L18" s="21">
        <f t="shared" si="4"/>
        <v>67420.340038684284</v>
      </c>
      <c r="M18" s="21">
        <f t="shared" si="4"/>
        <v>71670.867646519124</v>
      </c>
    </row>
    <row r="19" spans="2:13" ht="6" customHeight="1">
      <c r="B19" s="8"/>
      <c r="C19" s="8"/>
      <c r="D19" s="8"/>
      <c r="E19" s="8"/>
      <c r="F19" s="8"/>
      <c r="G19" s="8"/>
      <c r="H19" s="8"/>
      <c r="I19" s="8"/>
      <c r="J19" s="8"/>
      <c r="K19" s="8"/>
      <c r="L19" s="8"/>
      <c r="M19" s="8"/>
    </row>
    <row r="20" spans="2:13">
      <c r="B20" s="15" t="s">
        <v>141</v>
      </c>
      <c r="C20" s="8"/>
      <c r="D20" s="22">
        <f>BS!E44-BS!E10</f>
        <v>-153215</v>
      </c>
      <c r="E20" s="8"/>
      <c r="F20" s="8"/>
      <c r="G20" s="8"/>
      <c r="H20" s="8"/>
      <c r="I20" s="8"/>
      <c r="J20" s="8"/>
      <c r="K20" s="8"/>
      <c r="L20" s="8"/>
      <c r="M20" s="8"/>
    </row>
    <row r="21" spans="2:13" ht="6" customHeight="1">
      <c r="B21" s="8"/>
      <c r="C21" s="8"/>
      <c r="D21" s="8"/>
      <c r="E21" s="8"/>
      <c r="F21" s="8"/>
      <c r="G21" s="8"/>
      <c r="H21" s="8"/>
      <c r="I21" s="8"/>
      <c r="J21" s="8"/>
      <c r="K21" s="8"/>
      <c r="L21" s="8"/>
      <c r="M21" s="8"/>
    </row>
    <row r="22" spans="2:13">
      <c r="B22" s="7"/>
      <c r="C22" s="8"/>
      <c r="D22" s="9" t="s">
        <v>142</v>
      </c>
      <c r="E22" s="9"/>
      <c r="F22" s="9"/>
      <c r="G22" s="9"/>
      <c r="H22" s="9"/>
      <c r="I22" s="9"/>
      <c r="J22" s="9"/>
      <c r="K22" s="9"/>
      <c r="L22" s="9"/>
      <c r="M22" s="9"/>
    </row>
    <row r="23" spans="2:13" ht="3" customHeight="1">
      <c r="B23" s="7"/>
      <c r="C23" s="8"/>
      <c r="D23" s="8"/>
      <c r="E23" s="8"/>
      <c r="F23" s="8"/>
      <c r="G23" s="8"/>
      <c r="H23" s="8"/>
      <c r="I23" s="8"/>
      <c r="J23" s="8"/>
      <c r="K23" s="8"/>
      <c r="L23" s="8"/>
      <c r="M23" s="8"/>
    </row>
    <row r="24" spans="2:13">
      <c r="B24" s="8"/>
      <c r="C24" s="8"/>
      <c r="D24" s="157">
        <f>D6</f>
        <v>2018</v>
      </c>
      <c r="E24" s="157">
        <f t="shared" ref="E24:M24" si="5">E6</f>
        <v>2019</v>
      </c>
      <c r="F24" s="157">
        <f t="shared" si="5"/>
        <v>2020</v>
      </c>
      <c r="G24" s="157">
        <f t="shared" si="5"/>
        <v>2021</v>
      </c>
      <c r="H24" s="157">
        <f t="shared" si="5"/>
        <v>2022</v>
      </c>
      <c r="I24" s="157">
        <f t="shared" si="5"/>
        <v>2023</v>
      </c>
      <c r="J24" s="157">
        <f t="shared" si="5"/>
        <v>2024</v>
      </c>
      <c r="K24" s="157">
        <f t="shared" si="5"/>
        <v>2025</v>
      </c>
      <c r="L24" s="157">
        <f t="shared" si="5"/>
        <v>2026</v>
      </c>
      <c r="M24" s="157">
        <f t="shared" si="5"/>
        <v>2027</v>
      </c>
    </row>
    <row r="25" spans="2:13" ht="3" customHeight="1">
      <c r="B25" s="8"/>
      <c r="C25" s="8"/>
      <c r="D25" s="159"/>
      <c r="E25" s="159"/>
      <c r="F25" s="159"/>
      <c r="G25" s="159"/>
      <c r="H25" s="159"/>
      <c r="I25" s="159"/>
      <c r="J25" s="159"/>
      <c r="K25" s="159"/>
      <c r="L25" s="159"/>
      <c r="M25" s="159"/>
    </row>
    <row r="26" spans="2:13">
      <c r="B26" s="8" t="s">
        <v>143</v>
      </c>
      <c r="C26" s="8"/>
      <c r="D26" s="160">
        <v>1</v>
      </c>
      <c r="E26" s="160">
        <v>2</v>
      </c>
      <c r="F26" s="160">
        <v>3</v>
      </c>
      <c r="G26" s="160">
        <v>4</v>
      </c>
      <c r="H26" s="160">
        <v>5</v>
      </c>
      <c r="I26" s="160">
        <v>6</v>
      </c>
      <c r="J26" s="160">
        <v>7</v>
      </c>
      <c r="K26" s="160">
        <v>8</v>
      </c>
      <c r="L26" s="160">
        <v>9</v>
      </c>
      <c r="M26" s="160">
        <v>10</v>
      </c>
    </row>
    <row r="27" spans="2:13">
      <c r="B27" s="8" t="s">
        <v>144</v>
      </c>
      <c r="C27" s="8"/>
      <c r="D27" s="161">
        <f>D26/2</f>
        <v>0.5</v>
      </c>
      <c r="E27" s="16">
        <f>D27+1</f>
        <v>1.5</v>
      </c>
      <c r="F27" s="16">
        <f t="shared" ref="F27:M27" si="6">E27+1</f>
        <v>2.5</v>
      </c>
      <c r="G27" s="16">
        <f t="shared" si="6"/>
        <v>3.5</v>
      </c>
      <c r="H27" s="16">
        <f t="shared" si="6"/>
        <v>4.5</v>
      </c>
      <c r="I27" s="16">
        <f t="shared" si="6"/>
        <v>5.5</v>
      </c>
      <c r="J27" s="16">
        <f t="shared" si="6"/>
        <v>6.5</v>
      </c>
      <c r="K27" s="16">
        <f t="shared" si="6"/>
        <v>7.5</v>
      </c>
      <c r="L27" s="16">
        <f t="shared" si="6"/>
        <v>8.5</v>
      </c>
      <c r="M27" s="16">
        <f t="shared" si="6"/>
        <v>9.5</v>
      </c>
    </row>
    <row r="28" spans="2:13">
      <c r="B28" s="8" t="s">
        <v>145</v>
      </c>
      <c r="C28" s="8"/>
      <c r="D28" s="162">
        <v>5.5E-2</v>
      </c>
      <c r="E28" s="163">
        <f>D28</f>
        <v>5.5E-2</v>
      </c>
      <c r="F28" s="163">
        <f t="shared" ref="F28:M28" si="7">E28</f>
        <v>5.5E-2</v>
      </c>
      <c r="G28" s="163">
        <f t="shared" si="7"/>
        <v>5.5E-2</v>
      </c>
      <c r="H28" s="163">
        <f t="shared" si="7"/>
        <v>5.5E-2</v>
      </c>
      <c r="I28" s="163">
        <f t="shared" si="7"/>
        <v>5.5E-2</v>
      </c>
      <c r="J28" s="163">
        <f t="shared" si="7"/>
        <v>5.5E-2</v>
      </c>
      <c r="K28" s="163">
        <f t="shared" si="7"/>
        <v>5.5E-2</v>
      </c>
      <c r="L28" s="163">
        <f t="shared" si="7"/>
        <v>5.5E-2</v>
      </c>
      <c r="M28" s="163">
        <f t="shared" si="7"/>
        <v>5.5E-2</v>
      </c>
    </row>
    <row r="29" spans="2:13">
      <c r="B29" s="8" t="s">
        <v>146</v>
      </c>
      <c r="C29" s="8"/>
      <c r="D29" s="16">
        <f t="shared" ref="D29:M29" si="8">1/((1+D28)^D27)</f>
        <v>0.97358476702247099</v>
      </c>
      <c r="E29" s="16">
        <f t="shared" si="8"/>
        <v>0.92282916305447504</v>
      </c>
      <c r="F29" s="16">
        <f t="shared" si="8"/>
        <v>0.87471958583362563</v>
      </c>
      <c r="G29" s="16">
        <f t="shared" si="8"/>
        <v>0.82911809083755983</v>
      </c>
      <c r="H29" s="16">
        <f t="shared" si="8"/>
        <v>0.78589392496451171</v>
      </c>
      <c r="I29" s="16">
        <f t="shared" si="8"/>
        <v>0.74492315162512968</v>
      </c>
      <c r="J29" s="16">
        <f t="shared" si="8"/>
        <v>0.70608829537926976</v>
      </c>
      <c r="K29" s="16">
        <f t="shared" si="8"/>
        <v>0.66927800509883406</v>
      </c>
      <c r="L29" s="16">
        <f t="shared" si="8"/>
        <v>0.63438673469083795</v>
      </c>
      <c r="M29" s="16">
        <f t="shared" si="8"/>
        <v>0.60131444046524929</v>
      </c>
    </row>
    <row r="30" spans="2:13">
      <c r="B30" s="8" t="s">
        <v>140</v>
      </c>
      <c r="C30" s="8"/>
      <c r="D30" s="17">
        <f>D18</f>
        <v>41340.635717101264</v>
      </c>
      <c r="E30" s="17">
        <f t="shared" ref="E30:M30" si="9">E18</f>
        <v>43946.963619632777</v>
      </c>
      <c r="F30" s="17">
        <f t="shared" si="9"/>
        <v>46717.607939115376</v>
      </c>
      <c r="G30" s="17">
        <f t="shared" si="9"/>
        <v>49662.928033960299</v>
      </c>
      <c r="H30" s="17">
        <f t="shared" si="9"/>
        <v>52793.936370215335</v>
      </c>
      <c r="I30" s="17">
        <f t="shared" si="9"/>
        <v>56122.339696854135</v>
      </c>
      <c r="J30" s="17">
        <f t="shared" si="9"/>
        <v>59660.582816970331</v>
      </c>
      <c r="K30" s="17">
        <f t="shared" si="9"/>
        <v>63421.895118533153</v>
      </c>
      <c r="L30" s="17">
        <f t="shared" si="9"/>
        <v>67420.340038684284</v>
      </c>
      <c r="M30" s="17">
        <f t="shared" si="9"/>
        <v>71670.867646519124</v>
      </c>
    </row>
    <row r="31" spans="2:13">
      <c r="B31" s="14" t="s">
        <v>147</v>
      </c>
      <c r="C31" s="15"/>
      <c r="D31" s="21">
        <f t="shared" ref="D31:M31" si="10">D30*D29</f>
        <v>40248.613193194877</v>
      </c>
      <c r="E31" s="21">
        <f t="shared" si="10"/>
        <v>40555.539655891182</v>
      </c>
      <c r="F31" s="21">
        <f t="shared" si="10"/>
        <v>40864.806667640703</v>
      </c>
      <c r="G31" s="21">
        <f t="shared" si="10"/>
        <v>41176.43207692029</v>
      </c>
      <c r="H31" s="21">
        <f t="shared" si="10"/>
        <v>41490.433868315216</v>
      </c>
      <c r="I31" s="21">
        <f t="shared" si="10"/>
        <v>41806.830163556704</v>
      </c>
      <c r="J31" s="21">
        <f t="shared" si="10"/>
        <v>42125.63922256833</v>
      </c>
      <c r="K31" s="21">
        <f t="shared" si="10"/>
        <v>42446.879444519349</v>
      </c>
      <c r="L31" s="21">
        <f t="shared" si="10"/>
        <v>42770.569368886885</v>
      </c>
      <c r="M31" s="21">
        <f t="shared" si="10"/>
        <v>43096.727676525588</v>
      </c>
    </row>
    <row r="32" spans="2:13" ht="6" customHeight="1">
      <c r="B32" s="8"/>
      <c r="C32" s="8"/>
      <c r="D32" s="8"/>
      <c r="E32" s="8"/>
      <c r="F32" s="8"/>
      <c r="G32" s="8"/>
      <c r="H32" s="8"/>
      <c r="I32" s="8"/>
      <c r="J32" s="8"/>
      <c r="K32" s="8"/>
      <c r="L32" s="8"/>
      <c r="M32" s="8"/>
    </row>
    <row r="33" spans="2:13">
      <c r="B33" s="8"/>
      <c r="C33" s="8"/>
      <c r="D33" s="9" t="s">
        <v>148</v>
      </c>
      <c r="E33" s="9"/>
      <c r="F33" s="9"/>
      <c r="G33" s="9"/>
      <c r="H33" s="9"/>
      <c r="I33" s="8"/>
      <c r="J33" s="8"/>
      <c r="K33" s="8"/>
      <c r="L33" s="8"/>
      <c r="M33" s="8"/>
    </row>
    <row r="34" spans="2:13">
      <c r="B34" s="8"/>
      <c r="C34" s="8"/>
      <c r="D34" s="10"/>
      <c r="E34" s="10"/>
      <c r="F34" s="10"/>
      <c r="G34" s="10"/>
      <c r="H34" s="10"/>
      <c r="I34" s="8"/>
      <c r="J34" s="8"/>
      <c r="K34" s="8"/>
      <c r="L34" s="8"/>
      <c r="M34" s="8"/>
    </row>
    <row r="35" spans="2:13">
      <c r="B35" s="8"/>
      <c r="C35" s="8"/>
      <c r="D35" s="206" t="s">
        <v>149</v>
      </c>
      <c r="E35" s="207"/>
      <c r="F35" s="10"/>
      <c r="G35" s="206" t="s">
        <v>150</v>
      </c>
      <c r="H35" s="207"/>
      <c r="I35" s="8"/>
      <c r="J35" s="8"/>
      <c r="K35" s="8"/>
      <c r="L35" s="8"/>
      <c r="M35" s="8"/>
    </row>
    <row r="36" spans="2:13">
      <c r="B36" s="8"/>
      <c r="C36" s="8"/>
      <c r="D36" s="164"/>
      <c r="E36" s="164"/>
      <c r="F36" s="10"/>
      <c r="G36" s="164"/>
      <c r="H36" s="164"/>
      <c r="I36" s="8"/>
      <c r="J36" s="8"/>
      <c r="K36" s="8"/>
      <c r="L36" s="8"/>
      <c r="M36" s="8"/>
    </row>
    <row r="37" spans="2:13">
      <c r="B37" s="8" t="s">
        <v>151</v>
      </c>
      <c r="C37" s="8"/>
      <c r="D37" s="208">
        <v>0.02</v>
      </c>
      <c r="E37" s="209"/>
      <c r="F37" s="8"/>
      <c r="G37" s="210">
        <v>10</v>
      </c>
      <c r="H37" s="210"/>
      <c r="I37" s="8"/>
      <c r="J37" s="8"/>
      <c r="K37" s="8"/>
      <c r="L37" s="8"/>
      <c r="M37" s="8"/>
    </row>
    <row r="38" spans="2:13">
      <c r="B38" s="8" t="s">
        <v>152</v>
      </c>
      <c r="C38" s="8"/>
      <c r="D38" s="211">
        <f>SUM(D31:M31)</f>
        <v>416582.47133801912</v>
      </c>
      <c r="E38" s="211"/>
      <c r="F38" s="8"/>
      <c r="G38" s="211">
        <f>SUM(D31:M31)</f>
        <v>416582.47133801912</v>
      </c>
      <c r="H38" s="211"/>
      <c r="I38" s="8"/>
      <c r="J38" s="8"/>
      <c r="K38" s="8"/>
      <c r="L38" s="8"/>
      <c r="M38" s="8"/>
    </row>
    <row r="39" spans="2:13">
      <c r="B39" s="8" t="s">
        <v>153</v>
      </c>
      <c r="C39" s="8"/>
      <c r="D39" s="212">
        <f>D28</f>
        <v>5.5E-2</v>
      </c>
      <c r="E39" s="213"/>
      <c r="F39" s="8"/>
      <c r="G39" s="212">
        <f>D39</f>
        <v>5.5E-2</v>
      </c>
      <c r="H39" s="213"/>
      <c r="I39" s="8"/>
      <c r="J39" s="8"/>
      <c r="K39" s="8"/>
      <c r="L39" s="8"/>
      <c r="M39" s="8"/>
    </row>
    <row r="40" spans="2:13">
      <c r="B40" s="8" t="s">
        <v>154</v>
      </c>
      <c r="C40" s="8"/>
      <c r="D40" s="211">
        <f>M18*(1+D37)/(D39-D37)</f>
        <v>2088693.8571271284</v>
      </c>
      <c r="E40" s="211"/>
      <c r="F40" s="8"/>
      <c r="G40" s="211">
        <f>G37*M9</f>
        <v>1317738.8515086891</v>
      </c>
      <c r="H40" s="211"/>
      <c r="I40" s="8"/>
      <c r="J40" s="8"/>
      <c r="K40" s="8"/>
      <c r="L40" s="8"/>
      <c r="M40" s="8"/>
    </row>
    <row r="41" spans="2:13">
      <c r="B41" s="8" t="s">
        <v>155</v>
      </c>
      <c r="C41" s="8"/>
      <c r="D41" s="211">
        <f>D40/(1+D39)^COUNT(D24:M24)</f>
        <v>1222785.2550248185</v>
      </c>
      <c r="E41" s="211"/>
      <c r="F41" s="8"/>
      <c r="G41" s="211">
        <f>G40/(1+G39)^COUNT(D24:M24)</f>
        <v>771444.61937300139</v>
      </c>
      <c r="H41" s="211"/>
      <c r="I41" s="8"/>
      <c r="J41" s="8"/>
      <c r="K41" s="8"/>
      <c r="L41" s="8"/>
      <c r="M41" s="8"/>
    </row>
    <row r="42" spans="2:13">
      <c r="B42" s="15" t="s">
        <v>156</v>
      </c>
      <c r="C42" s="15"/>
      <c r="D42" s="216">
        <f>D41+D38</f>
        <v>1639367.7263628375</v>
      </c>
      <c r="E42" s="216"/>
      <c r="F42" s="15"/>
      <c r="G42" s="216">
        <f>G41+G38</f>
        <v>1188027.0907110204</v>
      </c>
      <c r="H42" s="216"/>
      <c r="I42" s="8"/>
      <c r="J42" s="8"/>
      <c r="K42" s="8"/>
      <c r="L42" s="8"/>
      <c r="M42" s="8"/>
    </row>
    <row r="43" spans="2:13">
      <c r="B43" s="8" t="s">
        <v>157</v>
      </c>
      <c r="C43" s="8"/>
      <c r="D43" s="211">
        <f>D20</f>
        <v>-153215</v>
      </c>
      <c r="E43" s="211"/>
      <c r="F43" s="8"/>
      <c r="G43" s="217">
        <f>D43</f>
        <v>-153215</v>
      </c>
      <c r="H43" s="217"/>
      <c r="I43" s="8"/>
      <c r="J43" s="8"/>
      <c r="K43" s="8"/>
      <c r="L43" s="8"/>
      <c r="M43" s="8"/>
    </row>
    <row r="44" spans="2:13">
      <c r="B44" s="8" t="s">
        <v>158</v>
      </c>
      <c r="C44" s="8"/>
      <c r="D44" s="211">
        <f>D42-D43</f>
        <v>1792582.7263628375</v>
      </c>
      <c r="E44" s="211"/>
      <c r="F44" s="8"/>
      <c r="G44" s="211">
        <f>G42-G43</f>
        <v>1341242.0907110204</v>
      </c>
      <c r="H44" s="211"/>
      <c r="I44" s="8"/>
      <c r="J44" s="8"/>
      <c r="K44" s="8"/>
      <c r="L44" s="8"/>
      <c r="M44" s="8"/>
    </row>
    <row r="45" spans="2:13">
      <c r="B45" s="8"/>
      <c r="C45" s="8"/>
      <c r="D45" s="18"/>
      <c r="E45" s="18"/>
      <c r="F45" s="8"/>
      <c r="G45" s="18"/>
      <c r="H45" s="18"/>
      <c r="I45" s="8"/>
      <c r="J45" s="8"/>
      <c r="K45" s="8"/>
      <c r="L45" s="8"/>
      <c r="M45" s="8"/>
    </row>
    <row r="46" spans="2:13">
      <c r="B46" s="14" t="str">
        <f>"Implied "&amp;D6&amp;" EBITDA multiple"</f>
        <v>Implied 2018 EBITDA multiple</v>
      </c>
      <c r="C46" s="8"/>
      <c r="D46" s="214">
        <f>D42/D9</f>
        <v>21.568132444007848</v>
      </c>
      <c r="E46" s="215"/>
      <c r="F46" s="15"/>
      <c r="G46" s="214">
        <f>G42/D9</f>
        <v>15.630126924832128</v>
      </c>
      <c r="H46" s="215"/>
      <c r="I46" s="8"/>
      <c r="J46" s="8"/>
      <c r="K46" s="8"/>
      <c r="L46" s="8"/>
      <c r="M46" s="8"/>
    </row>
    <row r="47" spans="2:13">
      <c r="B47" s="14"/>
      <c r="C47" s="8"/>
      <c r="D47" s="5"/>
      <c r="E47" s="5"/>
      <c r="F47" s="15"/>
      <c r="G47" s="5"/>
      <c r="H47" s="5"/>
      <c r="I47" s="8"/>
      <c r="J47" s="8"/>
      <c r="K47" s="8"/>
      <c r="L47" s="8"/>
      <c r="M47" s="8"/>
    </row>
    <row r="48" spans="2:13">
      <c r="B48" s="19"/>
      <c r="D48" s="5"/>
      <c r="E48" s="5"/>
      <c r="F48" s="6"/>
      <c r="G48" s="5"/>
      <c r="H48" s="5"/>
    </row>
    <row r="49" spans="2:8">
      <c r="B49" s="19"/>
      <c r="D49" s="5"/>
      <c r="E49" s="5"/>
      <c r="F49" s="6"/>
      <c r="G49" s="5"/>
      <c r="H49" s="5"/>
    </row>
  </sheetData>
  <mergeCells count="20">
    <mergeCell ref="D46:E46"/>
    <mergeCell ref="G46:H46"/>
    <mergeCell ref="D42:E42"/>
    <mergeCell ref="G42:H42"/>
    <mergeCell ref="D43:E43"/>
    <mergeCell ref="G43:H43"/>
    <mergeCell ref="D44:E44"/>
    <mergeCell ref="G44:H44"/>
    <mergeCell ref="D39:E39"/>
    <mergeCell ref="G39:H39"/>
    <mergeCell ref="D40:E40"/>
    <mergeCell ref="G40:H40"/>
    <mergeCell ref="D41:E41"/>
    <mergeCell ref="G41:H41"/>
    <mergeCell ref="D35:E35"/>
    <mergeCell ref="G35:H35"/>
    <mergeCell ref="D37:E37"/>
    <mergeCell ref="G37:H37"/>
    <mergeCell ref="D38:E38"/>
    <mergeCell ref="G38:H38"/>
  </mergeCells>
  <pageMargins left="0.7" right="0.7" top="0.75" bottom="0.75" header="0.3" footer="0.3"/>
  <pageSetup scale="50"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pageSetUpPr fitToPage="1"/>
  </sheetPr>
  <dimension ref="B3:T219"/>
  <sheetViews>
    <sheetView view="pageBreakPreview" topLeftCell="A99" zoomScale="75" zoomScaleSheetLayoutView="75" workbookViewId="0">
      <selection activeCell="D127" sqref="D127"/>
    </sheetView>
  </sheetViews>
  <sheetFormatPr defaultColWidth="9.140625" defaultRowHeight="15"/>
  <cols>
    <col min="1" max="1" width="9.140625" style="42" customWidth="1"/>
    <col min="2" max="2" width="47.28515625" style="42" customWidth="1"/>
    <col min="3" max="13" width="12.28515625" style="42" customWidth="1"/>
    <col min="14" max="14" width="9"/>
    <col min="15" max="15" width="32" style="42" customWidth="1"/>
    <col min="16" max="20" width="11.7109375" style="42" customWidth="1"/>
    <col min="21" max="23" width="9.140625" style="42" customWidth="1"/>
    <col min="24" max="16384" width="9.140625" style="42"/>
  </cols>
  <sheetData>
    <row r="3" spans="2:20">
      <c r="B3" s="43" t="s">
        <v>159</v>
      </c>
      <c r="C3" s="44"/>
      <c r="D3" s="45"/>
      <c r="E3" s="45"/>
      <c r="F3" s="46" t="s">
        <v>160</v>
      </c>
      <c r="G3" s="46"/>
      <c r="H3" s="46"/>
      <c r="I3" s="44"/>
      <c r="J3" s="44"/>
      <c r="K3" s="44"/>
      <c r="L3" s="44"/>
      <c r="M3" s="47" t="s">
        <v>161</v>
      </c>
      <c r="N3" s="48"/>
      <c r="O3" s="49" t="s">
        <v>162</v>
      </c>
      <c r="P3" s="49"/>
      <c r="Q3" s="49"/>
      <c r="R3" s="50"/>
      <c r="S3" s="50"/>
      <c r="T3" s="50"/>
    </row>
    <row r="4" spans="2:20" ht="3" customHeight="1">
      <c r="B4" s="89"/>
      <c r="C4" s="48"/>
      <c r="D4" s="48"/>
      <c r="E4" s="48"/>
      <c r="F4" s="48"/>
      <c r="G4" s="48"/>
      <c r="H4" s="48"/>
      <c r="I4" s="51"/>
      <c r="J4" s="48"/>
      <c r="K4" s="48"/>
      <c r="L4" s="48"/>
      <c r="M4" s="52"/>
      <c r="N4" s="48"/>
      <c r="O4" s="48"/>
      <c r="P4" s="48"/>
      <c r="Q4" s="48"/>
      <c r="R4" s="53"/>
      <c r="S4" s="53"/>
      <c r="T4" s="53"/>
    </row>
    <row r="5" spans="2:20">
      <c r="B5" s="89"/>
      <c r="C5" s="54"/>
      <c r="D5" s="48"/>
      <c r="E5" s="48"/>
      <c r="F5" s="48" t="s">
        <v>163</v>
      </c>
      <c r="G5" s="48"/>
      <c r="H5" s="48"/>
      <c r="I5" s="165">
        <v>0</v>
      </c>
      <c r="J5" s="48" t="s">
        <v>164</v>
      </c>
      <c r="K5" s="48"/>
      <c r="L5" s="48"/>
      <c r="M5" s="55">
        <f>C13</f>
        <v>510720</v>
      </c>
      <c r="N5" s="48"/>
      <c r="O5" s="48"/>
      <c r="P5" s="56" t="s">
        <v>165</v>
      </c>
      <c r="Q5" s="56" t="s">
        <v>166</v>
      </c>
      <c r="R5" s="56" t="s">
        <v>167</v>
      </c>
      <c r="S5" s="56" t="s">
        <v>168</v>
      </c>
      <c r="T5" s="56" t="s">
        <v>169</v>
      </c>
    </row>
    <row r="6" spans="2:20">
      <c r="B6" s="89" t="s">
        <v>170</v>
      </c>
      <c r="C6" s="166">
        <v>5</v>
      </c>
      <c r="D6" s="48"/>
      <c r="E6" s="48"/>
      <c r="F6" s="48" t="s">
        <v>171</v>
      </c>
      <c r="G6" s="48"/>
      <c r="H6" s="48"/>
      <c r="I6" s="167">
        <v>0</v>
      </c>
      <c r="J6" s="48" t="s">
        <v>172</v>
      </c>
      <c r="K6" s="48"/>
      <c r="L6" s="48"/>
      <c r="M6" s="168">
        <f>SUM(P20:S20)</f>
        <v>0</v>
      </c>
      <c r="N6" s="48"/>
      <c r="O6" s="48" t="s">
        <v>173</v>
      </c>
      <c r="P6" s="58">
        <v>0</v>
      </c>
      <c r="Q6" s="58">
        <v>0</v>
      </c>
      <c r="R6" s="58">
        <v>0</v>
      </c>
      <c r="S6" s="58">
        <v>0</v>
      </c>
      <c r="T6" s="58">
        <v>0</v>
      </c>
    </row>
    <row r="7" spans="2:20">
      <c r="B7" s="89" t="s">
        <v>174</v>
      </c>
      <c r="C7" s="169">
        <f>C17*C6</f>
        <v>357505</v>
      </c>
      <c r="D7" s="48"/>
      <c r="E7" s="48"/>
      <c r="F7" s="48" t="s">
        <v>175</v>
      </c>
      <c r="G7" s="48"/>
      <c r="H7" s="48"/>
      <c r="I7" s="167">
        <v>0</v>
      </c>
      <c r="J7" s="48" t="s">
        <v>176</v>
      </c>
      <c r="K7" s="48"/>
      <c r="L7" s="48"/>
      <c r="M7" s="170">
        <v>100</v>
      </c>
      <c r="N7" s="48"/>
      <c r="O7" s="48" t="s">
        <v>177</v>
      </c>
      <c r="P7" s="59">
        <v>41730</v>
      </c>
      <c r="Q7" s="59">
        <v>41730</v>
      </c>
      <c r="R7" s="59">
        <v>41730</v>
      </c>
      <c r="S7" s="59">
        <v>41730</v>
      </c>
      <c r="T7" s="59">
        <v>41730</v>
      </c>
    </row>
    <row r="8" spans="2:20">
      <c r="B8" s="89"/>
      <c r="C8" s="57"/>
      <c r="D8" s="48"/>
      <c r="E8" s="48"/>
      <c r="F8" s="48" t="s">
        <v>178</v>
      </c>
      <c r="G8" s="48"/>
      <c r="H8" s="48"/>
      <c r="I8" s="167">
        <v>0</v>
      </c>
      <c r="J8" s="48" t="str">
        <f>BS!C35</f>
        <v>Debt 1</v>
      </c>
      <c r="K8" s="48"/>
      <c r="L8" s="48"/>
      <c r="M8" s="171">
        <f>BS!E35</f>
        <v>115680</v>
      </c>
      <c r="N8" s="48"/>
      <c r="O8" s="48" t="s">
        <v>179</v>
      </c>
      <c r="P8" s="59">
        <v>43922</v>
      </c>
      <c r="Q8" s="59">
        <v>43922</v>
      </c>
      <c r="R8" s="59">
        <v>43922</v>
      </c>
      <c r="S8" s="59">
        <v>43922</v>
      </c>
      <c r="T8" s="59">
        <v>43922</v>
      </c>
    </row>
    <row r="9" spans="2:20">
      <c r="B9" s="89" t="s">
        <v>180</v>
      </c>
      <c r="C9" s="124">
        <f>BS!E44</f>
        <v>115680</v>
      </c>
      <c r="D9" s="48"/>
      <c r="E9" s="48"/>
      <c r="F9" s="48" t="s">
        <v>181</v>
      </c>
      <c r="G9" s="48"/>
      <c r="H9" s="48"/>
      <c r="I9" s="167">
        <v>0</v>
      </c>
      <c r="J9" s="48" t="str">
        <f>BS!C36</f>
        <v>Debt 2</v>
      </c>
      <c r="K9" s="48"/>
      <c r="L9" s="48"/>
      <c r="M9" s="171">
        <f>BS!E36</f>
        <v>0</v>
      </c>
      <c r="N9" s="48"/>
      <c r="O9" s="48" t="s">
        <v>182</v>
      </c>
      <c r="P9" s="60">
        <v>0</v>
      </c>
      <c r="Q9" s="60">
        <v>0</v>
      </c>
      <c r="R9" s="60">
        <v>0</v>
      </c>
      <c r="S9" s="60">
        <v>0</v>
      </c>
      <c r="T9" s="60">
        <v>0.05</v>
      </c>
    </row>
    <row r="10" spans="2:20">
      <c r="B10" s="89" t="s">
        <v>183</v>
      </c>
      <c r="C10" s="124">
        <f>BS!E49</f>
        <v>0</v>
      </c>
      <c r="D10" s="48"/>
      <c r="E10" s="48"/>
      <c r="F10" s="48" t="s">
        <v>184</v>
      </c>
      <c r="G10" s="48"/>
      <c r="H10" s="48"/>
      <c r="I10" s="167">
        <v>0</v>
      </c>
      <c r="J10" s="48" t="str">
        <f>BS!C37</f>
        <v>Debt 3</v>
      </c>
      <c r="K10" s="48"/>
      <c r="L10" s="48"/>
      <c r="M10" s="171">
        <f>BS!E37</f>
        <v>0</v>
      </c>
      <c r="N10" s="48"/>
      <c r="O10" s="48" t="s">
        <v>185</v>
      </c>
      <c r="P10" s="57">
        <v>100</v>
      </c>
      <c r="Q10" s="57">
        <v>100</v>
      </c>
      <c r="R10" s="57">
        <v>100</v>
      </c>
      <c r="S10" s="57">
        <v>100</v>
      </c>
      <c r="T10" s="57">
        <v>100</v>
      </c>
    </row>
    <row r="11" spans="2:20">
      <c r="B11" s="89" t="s">
        <v>186</v>
      </c>
      <c r="C11" s="124">
        <f>BS!E10</f>
        <v>268895</v>
      </c>
      <c r="D11" s="48"/>
      <c r="E11" s="48"/>
      <c r="F11" s="48" t="s">
        <v>187</v>
      </c>
      <c r="G11" s="48"/>
      <c r="H11" s="48"/>
      <c r="I11" s="167">
        <v>0</v>
      </c>
      <c r="J11" s="48" t="str">
        <f>BS!C38</f>
        <v>Debt 4</v>
      </c>
      <c r="K11" s="48"/>
      <c r="L11" s="48"/>
      <c r="M11" s="171">
        <f>BS!E38</f>
        <v>0</v>
      </c>
      <c r="N11" s="48"/>
      <c r="O11" s="48" t="s">
        <v>188</v>
      </c>
      <c r="P11" s="57">
        <v>100</v>
      </c>
      <c r="Q11" s="57">
        <v>100</v>
      </c>
      <c r="R11" s="57">
        <v>100</v>
      </c>
      <c r="S11" s="57">
        <v>100</v>
      </c>
      <c r="T11" s="57">
        <v>100</v>
      </c>
    </row>
    <row r="12" spans="2:20">
      <c r="B12" s="61" t="s">
        <v>189</v>
      </c>
      <c r="C12" s="172">
        <f>C9-C11</f>
        <v>-153215</v>
      </c>
      <c r="D12" s="48"/>
      <c r="E12" s="48"/>
      <c r="F12" s="48" t="s">
        <v>190</v>
      </c>
      <c r="G12" s="48"/>
      <c r="H12" s="48"/>
      <c r="I12" s="167">
        <v>0</v>
      </c>
      <c r="J12" s="48" t="str">
        <f>BS!C39</f>
        <v>Debt 5</v>
      </c>
      <c r="K12" s="48"/>
      <c r="L12" s="48"/>
      <c r="M12" s="171">
        <f>BS!E39</f>
        <v>0</v>
      </c>
      <c r="N12" s="48"/>
      <c r="O12" s="48" t="s">
        <v>191</v>
      </c>
      <c r="P12" s="62">
        <f>YIELD(P7,P8,P9,P10,P11,2)</f>
        <v>0</v>
      </c>
      <c r="Q12" s="62">
        <f t="shared" ref="Q12:T12" si="0">YIELD(Q7,Q8,Q9,Q10,Q11,2)</f>
        <v>0</v>
      </c>
      <c r="R12" s="62">
        <f t="shared" si="0"/>
        <v>0</v>
      </c>
      <c r="S12" s="62">
        <f t="shared" si="0"/>
        <v>0</v>
      </c>
      <c r="T12" s="62">
        <f t="shared" si="0"/>
        <v>0.05</v>
      </c>
    </row>
    <row r="13" spans="2:20">
      <c r="B13" s="61" t="s">
        <v>158</v>
      </c>
      <c r="C13" s="169">
        <f>C7-C12</f>
        <v>510720</v>
      </c>
      <c r="D13" s="48"/>
      <c r="E13" s="48"/>
      <c r="F13" s="48" t="s">
        <v>192</v>
      </c>
      <c r="G13" s="48"/>
      <c r="H13" s="48"/>
      <c r="I13" s="167">
        <v>0</v>
      </c>
      <c r="J13" s="48" t="str">
        <f>BS!C40</f>
        <v>Debt 6</v>
      </c>
      <c r="K13" s="48"/>
      <c r="L13" s="48"/>
      <c r="M13" s="171">
        <f>BS!E40</f>
        <v>0</v>
      </c>
      <c r="N13" s="48"/>
      <c r="O13" s="48" t="s">
        <v>193</v>
      </c>
      <c r="P13" s="63">
        <v>0</v>
      </c>
      <c r="Q13" s="63">
        <v>0</v>
      </c>
      <c r="R13" s="63">
        <v>0</v>
      </c>
      <c r="S13" s="63">
        <v>0</v>
      </c>
      <c r="T13" s="63">
        <v>8.9999999999999993E-3</v>
      </c>
    </row>
    <row r="14" spans="2:20">
      <c r="B14" s="89"/>
      <c r="C14" s="48"/>
      <c r="D14" s="48"/>
      <c r="E14" s="48"/>
      <c r="F14" s="48"/>
      <c r="G14" s="48"/>
      <c r="H14" s="48"/>
      <c r="I14" s="173"/>
      <c r="J14" s="48" t="str">
        <f>BS!C41</f>
        <v>Debt 7</v>
      </c>
      <c r="K14" s="48"/>
      <c r="L14" s="48"/>
      <c r="M14" s="171">
        <f>BS!E41</f>
        <v>0</v>
      </c>
      <c r="N14" s="48"/>
      <c r="O14" s="48" t="s">
        <v>194</v>
      </c>
      <c r="P14" s="63">
        <v>0</v>
      </c>
      <c r="Q14" s="63">
        <v>0</v>
      </c>
      <c r="R14" s="63">
        <v>0</v>
      </c>
      <c r="S14" s="63">
        <v>0</v>
      </c>
      <c r="T14" s="63">
        <v>2E-3</v>
      </c>
    </row>
    <row r="15" spans="2:20">
      <c r="B15" s="89"/>
      <c r="C15" s="48"/>
      <c r="D15" s="48"/>
      <c r="E15" s="48"/>
      <c r="F15" s="48"/>
      <c r="G15" s="48"/>
      <c r="H15" s="48"/>
      <c r="I15" s="93"/>
      <c r="J15" s="48" t="str">
        <f>BS!C42</f>
        <v>Debt 8</v>
      </c>
      <c r="K15" s="48"/>
      <c r="L15" s="48"/>
      <c r="M15" s="171">
        <f>BS!E42</f>
        <v>0</v>
      </c>
      <c r="N15" s="48"/>
      <c r="O15" s="48" t="s">
        <v>195</v>
      </c>
      <c r="P15" s="62">
        <f>P12-P13</f>
        <v>0</v>
      </c>
      <c r="Q15" s="62">
        <f t="shared" ref="Q15:T15" si="1">Q12-Q13</f>
        <v>0</v>
      </c>
      <c r="R15" s="62">
        <f t="shared" si="1"/>
        <v>0</v>
      </c>
      <c r="S15" s="62">
        <f t="shared" si="1"/>
        <v>0</v>
      </c>
      <c r="T15" s="62">
        <f t="shared" si="1"/>
        <v>4.1000000000000002E-2</v>
      </c>
    </row>
    <row r="16" spans="2:20">
      <c r="B16" s="89"/>
      <c r="C16" s="48"/>
      <c r="D16" s="48"/>
      <c r="E16" s="48"/>
      <c r="F16" s="48"/>
      <c r="G16" s="48"/>
      <c r="H16" s="48"/>
      <c r="I16" s="93"/>
      <c r="J16" s="48" t="str">
        <f>BS!C43</f>
        <v>Debt 9</v>
      </c>
      <c r="K16" s="48"/>
      <c r="L16" s="48"/>
      <c r="M16" s="171">
        <f>BS!E43</f>
        <v>0</v>
      </c>
      <c r="N16" s="48"/>
      <c r="O16" s="48" t="s">
        <v>172</v>
      </c>
      <c r="P16" s="62">
        <f>P15+P14</f>
        <v>0</v>
      </c>
      <c r="Q16" s="62">
        <f t="shared" ref="Q16:T16" si="2">Q15+Q14</f>
        <v>0</v>
      </c>
      <c r="R16" s="62">
        <f t="shared" si="2"/>
        <v>0</v>
      </c>
      <c r="S16" s="62">
        <f t="shared" si="2"/>
        <v>0</v>
      </c>
      <c r="T16" s="62">
        <f t="shared" si="2"/>
        <v>4.3000000000000003E-2</v>
      </c>
    </row>
    <row r="17" spans="2:20">
      <c r="B17" s="89" t="str">
        <f>IS!G5&amp; " EBITDA"</f>
        <v>2017 EBITDA</v>
      </c>
      <c r="C17" s="174">
        <f>IS!G28</f>
        <v>71501</v>
      </c>
      <c r="D17" s="48"/>
      <c r="E17" s="48"/>
      <c r="F17" s="48"/>
      <c r="G17" s="48"/>
      <c r="H17" s="48"/>
      <c r="I17" s="173"/>
      <c r="J17" s="76"/>
      <c r="K17" s="76"/>
      <c r="L17" s="76"/>
      <c r="M17" s="78"/>
      <c r="N17" s="48"/>
      <c r="O17" s="48" t="s">
        <v>196</v>
      </c>
      <c r="P17" s="62">
        <f>PRICE(P7,P8,P9,P16,P11,2,0)/100</f>
        <v>1</v>
      </c>
      <c r="Q17" s="62">
        <f t="shared" ref="Q17:T17" si="3">PRICE(Q7,Q8,Q9,Q16,Q11,2,0)/100</f>
        <v>1</v>
      </c>
      <c r="R17" s="62">
        <f t="shared" si="3"/>
        <v>1</v>
      </c>
      <c r="S17" s="62">
        <f t="shared" si="3"/>
        <v>1</v>
      </c>
      <c r="T17" s="62">
        <f t="shared" si="3"/>
        <v>1.0366750040489425</v>
      </c>
    </row>
    <row r="18" spans="2:20">
      <c r="B18" s="76"/>
      <c r="C18" s="76"/>
      <c r="D18" s="48"/>
      <c r="E18" s="48"/>
      <c r="F18" s="48" t="s">
        <v>197</v>
      </c>
      <c r="G18" s="48"/>
      <c r="H18" s="48"/>
      <c r="I18" s="93">
        <f>M18</f>
        <v>0</v>
      </c>
      <c r="J18" s="48" t="s">
        <v>198</v>
      </c>
      <c r="K18" s="48"/>
      <c r="L18" s="48"/>
      <c r="M18" s="168">
        <f>C9-SUM(M8:M16)</f>
        <v>0</v>
      </c>
      <c r="N18" s="48"/>
      <c r="O18" s="48" t="s">
        <v>199</v>
      </c>
      <c r="P18" s="64">
        <f>P10/100*P6</f>
        <v>0</v>
      </c>
      <c r="Q18" s="64">
        <f t="shared" ref="Q18:T18" si="4">Q10/100*Q6</f>
        <v>0</v>
      </c>
      <c r="R18" s="64">
        <f t="shared" si="4"/>
        <v>0</v>
      </c>
      <c r="S18" s="64">
        <f t="shared" si="4"/>
        <v>0</v>
      </c>
      <c r="T18" s="64">
        <f t="shared" si="4"/>
        <v>0</v>
      </c>
    </row>
    <row r="19" spans="2:20">
      <c r="B19" s="89"/>
      <c r="C19" s="48"/>
      <c r="D19" s="48"/>
      <c r="E19" s="48"/>
      <c r="F19" s="48" t="s">
        <v>200</v>
      </c>
      <c r="G19" s="48"/>
      <c r="H19" s="48"/>
      <c r="I19" s="93">
        <f>M20-I18-SUM(I5:I13)</f>
        <v>626500</v>
      </c>
      <c r="J19" s="48" t="s">
        <v>201</v>
      </c>
      <c r="K19" s="48"/>
      <c r="L19" s="48"/>
      <c r="M19" s="168">
        <f>BS!E49</f>
        <v>0</v>
      </c>
      <c r="N19" s="48"/>
      <c r="O19" s="48" t="s">
        <v>202</v>
      </c>
      <c r="P19" s="65">
        <f>P17*P6</f>
        <v>0</v>
      </c>
      <c r="Q19" s="65">
        <f t="shared" ref="Q19:T19" si="5">Q17*Q6</f>
        <v>0</v>
      </c>
      <c r="R19" s="65">
        <f t="shared" si="5"/>
        <v>0</v>
      </c>
      <c r="S19" s="65">
        <f t="shared" si="5"/>
        <v>0</v>
      </c>
      <c r="T19" s="65">
        <f t="shared" si="5"/>
        <v>0</v>
      </c>
    </row>
    <row r="20" spans="2:20">
      <c r="B20" s="89"/>
      <c r="C20" s="48"/>
      <c r="D20" s="48"/>
      <c r="E20" s="48"/>
      <c r="F20" s="66" t="s">
        <v>203</v>
      </c>
      <c r="G20" s="48"/>
      <c r="H20" s="48"/>
      <c r="I20" s="172">
        <f>SUM(I5:I19)</f>
        <v>626500</v>
      </c>
      <c r="J20" s="66" t="s">
        <v>204</v>
      </c>
      <c r="K20" s="48"/>
      <c r="L20" s="48"/>
      <c r="M20" s="175">
        <f>SUM(M5:M19)</f>
        <v>626500</v>
      </c>
      <c r="N20" s="48"/>
      <c r="O20" s="48" t="s">
        <v>205</v>
      </c>
      <c r="P20" s="65">
        <f>P19-P18</f>
        <v>0</v>
      </c>
      <c r="Q20" s="65">
        <f t="shared" ref="Q20:T20" si="6">Q19-Q18</f>
        <v>0</v>
      </c>
      <c r="R20" s="65">
        <f t="shared" si="6"/>
        <v>0</v>
      </c>
      <c r="S20" s="65">
        <f t="shared" si="6"/>
        <v>0</v>
      </c>
      <c r="T20" s="65">
        <f t="shared" si="6"/>
        <v>0</v>
      </c>
    </row>
    <row r="21" spans="2:20">
      <c r="B21" s="67"/>
      <c r="C21" s="76"/>
      <c r="D21" s="76"/>
      <c r="E21" s="76"/>
      <c r="F21" s="76"/>
      <c r="G21" s="76"/>
      <c r="H21" s="76"/>
      <c r="I21" s="76"/>
      <c r="J21" s="76"/>
      <c r="K21" s="76"/>
      <c r="L21" s="76"/>
      <c r="M21" s="68"/>
    </row>
    <row r="22" spans="2:20">
      <c r="B22" s="69"/>
      <c r="C22" s="70"/>
      <c r="D22" s="70"/>
      <c r="E22" s="70"/>
      <c r="F22" s="71" t="s">
        <v>74</v>
      </c>
      <c r="G22" s="70"/>
      <c r="H22" s="70"/>
      <c r="I22" s="71" t="str">
        <f>IF(I20-M20=0,"Okay","Sources &amp; Uses do not match")</f>
        <v>Okay</v>
      </c>
      <c r="J22" s="70"/>
      <c r="K22" s="70"/>
      <c r="L22" s="70"/>
      <c r="M22" s="72"/>
    </row>
    <row r="23" spans="2:20">
      <c r="B23" s="76"/>
      <c r="C23" s="76"/>
      <c r="D23" s="76"/>
      <c r="E23" s="76"/>
      <c r="F23" s="76"/>
      <c r="G23" s="76"/>
      <c r="H23" s="76"/>
      <c r="I23" s="76"/>
      <c r="J23" s="76"/>
      <c r="K23" s="76"/>
      <c r="L23" s="76"/>
      <c r="M23" s="76"/>
    </row>
    <row r="24" spans="2:20">
      <c r="B24" s="73" t="s">
        <v>75</v>
      </c>
      <c r="C24" s="74"/>
      <c r="D24" s="74"/>
      <c r="E24" s="74"/>
      <c r="F24" s="74"/>
      <c r="G24" s="74"/>
      <c r="H24" s="74"/>
      <c r="I24" s="74"/>
      <c r="J24" s="74"/>
      <c r="K24" s="74"/>
      <c r="L24" s="74"/>
      <c r="M24" s="74"/>
    </row>
    <row r="25" spans="2:20" ht="3" customHeight="1">
      <c r="B25" s="76"/>
      <c r="C25" s="76"/>
      <c r="D25" s="76"/>
      <c r="E25" s="76"/>
      <c r="F25" s="76"/>
      <c r="G25" s="76"/>
      <c r="H25" s="76"/>
      <c r="I25" s="76"/>
      <c r="J25" s="76"/>
      <c r="K25" s="76"/>
      <c r="L25" s="76"/>
      <c r="M25" s="76"/>
    </row>
    <row r="26" spans="2:20">
      <c r="B26" s="76"/>
      <c r="C26" s="76"/>
      <c r="D26" s="76"/>
      <c r="E26" s="76"/>
      <c r="F26" s="176">
        <f>IS!H5</f>
        <v>2018</v>
      </c>
      <c r="G26" s="176">
        <f>IS!I5</f>
        <v>2019</v>
      </c>
      <c r="H26" s="176">
        <f>IS!J5</f>
        <v>2020</v>
      </c>
      <c r="I26" s="176">
        <f>IS!K5</f>
        <v>2021</v>
      </c>
      <c r="J26" s="176">
        <f>IS!L5</f>
        <v>2022</v>
      </c>
      <c r="K26" s="176">
        <f>IS!M5</f>
        <v>2023</v>
      </c>
      <c r="L26" s="176">
        <f>IS!N5</f>
        <v>2024</v>
      </c>
      <c r="M26" s="176">
        <f>IS!O5</f>
        <v>2025</v>
      </c>
    </row>
    <row r="27" spans="2:20" ht="3" customHeight="1">
      <c r="B27" s="76"/>
      <c r="C27" s="76"/>
      <c r="D27" s="76"/>
      <c r="E27" s="76"/>
      <c r="F27" s="76"/>
      <c r="G27" s="76"/>
      <c r="H27" s="76"/>
      <c r="I27" s="76"/>
      <c r="J27" s="76"/>
      <c r="K27" s="76"/>
      <c r="L27" s="76"/>
      <c r="M27" s="76"/>
    </row>
    <row r="28" spans="2:20">
      <c r="B28" s="76" t="s">
        <v>18</v>
      </c>
      <c r="C28" s="76"/>
      <c r="D28" s="76"/>
      <c r="E28" s="76"/>
      <c r="F28" s="123">
        <f>IS!H28</f>
        <v>76008.793557751618</v>
      </c>
      <c r="G28" s="123">
        <f>IS!I28</f>
        <v>80800.781780742953</v>
      </c>
      <c r="H28" s="123">
        <f>IS!J28</f>
        <v>85894.881773365822</v>
      </c>
      <c r="I28" s="123">
        <f>IS!K28</f>
        <v>91310.140227119089</v>
      </c>
      <c r="J28" s="123">
        <f>IS!L28</f>
        <v>97066.804635633729</v>
      </c>
      <c r="K28" s="123">
        <f>IS!M28</f>
        <v>103186.39899946138</v>
      </c>
      <c r="L28" s="123">
        <f>IS!N28</f>
        <v>109691.80430368592</v>
      </c>
      <c r="M28" s="123">
        <f>IS!O28</f>
        <v>116607.34406925994</v>
      </c>
    </row>
    <row r="29" spans="2:20">
      <c r="B29" s="76" t="s">
        <v>206</v>
      </c>
      <c r="C29" s="76"/>
      <c r="D29" s="76"/>
      <c r="E29" s="76"/>
      <c r="F29" s="124">
        <f>-IS!H33</f>
        <v>2918.0590245734766</v>
      </c>
      <c r="G29" s="124">
        <f>-IS!I33</f>
        <v>3102.0285868468891</v>
      </c>
      <c r="H29" s="124">
        <f>-IS!J33</f>
        <v>3297.596543655181</v>
      </c>
      <c r="I29" s="124">
        <f>-IS!K33</f>
        <v>3505.4941178926433</v>
      </c>
      <c r="J29" s="124">
        <f>-IS!L33</f>
        <v>3726.4986325340133</v>
      </c>
      <c r="K29" s="124">
        <f>-IS!M33</f>
        <v>3961.4364170224394</v>
      </c>
      <c r="L29" s="124">
        <f>-IS!N33</f>
        <v>4211.185896891202</v>
      </c>
      <c r="M29" s="124">
        <f>-IS!O33</f>
        <v>4476.6808781711925</v>
      </c>
    </row>
    <row r="30" spans="2:20">
      <c r="B30" s="76" t="s">
        <v>77</v>
      </c>
      <c r="C30" s="76"/>
      <c r="D30" s="76"/>
      <c r="E30" s="76"/>
      <c r="F30" s="124">
        <f>-IS!H45</f>
        <v>-13601.663103612982</v>
      </c>
      <c r="G30" s="124">
        <f>-IS!I45</f>
        <v>-14459.182429401073</v>
      </c>
      <c r="H30" s="124">
        <f>-IS!J45</f>
        <v>-15370.764217146827</v>
      </c>
      <c r="I30" s="124">
        <f>-IS!K45</f>
        <v>-16339.816844603414</v>
      </c>
      <c r="J30" s="124">
        <f>-IS!L45</f>
        <v>-17369.963571319746</v>
      </c>
      <c r="K30" s="124">
        <f>-IS!M45</f>
        <v>-18465.056085902408</v>
      </c>
      <c r="L30" s="124">
        <f>-IS!N45</f>
        <v>-19629.188907367188</v>
      </c>
      <c r="M30" s="124">
        <f>-IS!O45</f>
        <v>-20866.714694426377</v>
      </c>
    </row>
    <row r="31" spans="2:20">
      <c r="B31" s="76" t="s">
        <v>207</v>
      </c>
      <c r="C31" s="76"/>
      <c r="D31" s="76"/>
      <c r="E31" s="76"/>
      <c r="F31" s="75">
        <f t="shared" ref="F31:M31" si="7">-F126</f>
        <v>0</v>
      </c>
      <c r="G31" s="75">
        <f t="shared" si="7"/>
        <v>0</v>
      </c>
      <c r="H31" s="75">
        <f t="shared" si="7"/>
        <v>0</v>
      </c>
      <c r="I31" s="75">
        <f t="shared" si="7"/>
        <v>0</v>
      </c>
      <c r="J31" s="75">
        <f t="shared" si="7"/>
        <v>0</v>
      </c>
      <c r="K31" s="75">
        <f t="shared" si="7"/>
        <v>0</v>
      </c>
      <c r="L31" s="75">
        <f t="shared" si="7"/>
        <v>0</v>
      </c>
      <c r="M31" s="75">
        <f t="shared" si="7"/>
        <v>0</v>
      </c>
    </row>
    <row r="32" spans="2:20">
      <c r="B32" s="76" t="s">
        <v>79</v>
      </c>
      <c r="C32" s="76"/>
      <c r="D32" s="76"/>
      <c r="E32" s="76"/>
      <c r="F32" s="75">
        <f t="shared" ref="F32:M32" si="8">-F138</f>
        <v>-23840.950934084278</v>
      </c>
      <c r="G32" s="75">
        <f t="shared" si="8"/>
        <v>-25344.283847304407</v>
      </c>
      <c r="H32" s="75">
        <f t="shared" si="8"/>
        <v>-26942.394657636039</v>
      </c>
      <c r="I32" s="75">
        <f t="shared" si="8"/>
        <v>-28641.258654851572</v>
      </c>
      <c r="J32" s="75">
        <f t="shared" si="8"/>
        <v>-30447.227841954595</v>
      </c>
      <c r="K32" s="75">
        <f t="shared" si="8"/>
        <v>-32367.054685134026</v>
      </c>
      <c r="L32" s="75">
        <f t="shared" si="8"/>
        <v>-34407.91736103865</v>
      </c>
      <c r="M32" s="75">
        <f t="shared" si="8"/>
        <v>-36577.446595770409</v>
      </c>
    </row>
    <row r="33" spans="2:13">
      <c r="B33" s="76" t="s">
        <v>80</v>
      </c>
      <c r="C33" s="76"/>
      <c r="D33" s="76"/>
      <c r="E33" s="76"/>
      <c r="F33" s="75">
        <f t="shared" ref="F33:M33" si="9">-F191</f>
        <v>1757.5105384461931</v>
      </c>
      <c r="G33" s="75">
        <f t="shared" si="9"/>
        <v>1868.3131101988838</v>
      </c>
      <c r="H33" s="75">
        <f t="shared" si="9"/>
        <v>1986.1012502531084</v>
      </c>
      <c r="I33" s="75">
        <f t="shared" si="9"/>
        <v>2111.3153650337626</v>
      </c>
      <c r="J33" s="75">
        <f t="shared" si="9"/>
        <v>2244.4236264690408</v>
      </c>
      <c r="K33" s="75">
        <f t="shared" si="9"/>
        <v>2385.9237224713434</v>
      </c>
      <c r="L33" s="75">
        <f t="shared" si="9"/>
        <v>2536.3447177783237</v>
      </c>
      <c r="M33" s="75">
        <f t="shared" si="9"/>
        <v>2696.2490321100922</v>
      </c>
    </row>
    <row r="34" spans="2:13">
      <c r="B34" s="76" t="s">
        <v>81</v>
      </c>
      <c r="C34" s="76"/>
      <c r="D34" s="76"/>
      <c r="E34" s="76"/>
      <c r="F34" s="75">
        <f t="shared" ref="F34:M34" si="10">-F194</f>
        <v>0</v>
      </c>
      <c r="G34" s="75">
        <f t="shared" si="10"/>
        <v>0</v>
      </c>
      <c r="H34" s="75">
        <f t="shared" si="10"/>
        <v>0</v>
      </c>
      <c r="I34" s="75">
        <f t="shared" si="10"/>
        <v>0</v>
      </c>
      <c r="J34" s="75">
        <f t="shared" si="10"/>
        <v>0</v>
      </c>
      <c r="K34" s="75">
        <f t="shared" si="10"/>
        <v>0</v>
      </c>
      <c r="L34" s="75">
        <f t="shared" si="10"/>
        <v>0</v>
      </c>
      <c r="M34" s="75">
        <f t="shared" si="10"/>
        <v>0</v>
      </c>
    </row>
    <row r="35" spans="2:13">
      <c r="B35" s="77" t="s">
        <v>82</v>
      </c>
      <c r="C35" s="76"/>
      <c r="D35" s="76"/>
      <c r="E35" s="76"/>
      <c r="F35" s="177">
        <f t="shared" ref="F35:M35" si="11">SUM(F28:F34)</f>
        <v>43241.749083074028</v>
      </c>
      <c r="G35" s="177">
        <f t="shared" si="11"/>
        <v>45967.657201083246</v>
      </c>
      <c r="H35" s="177">
        <f t="shared" si="11"/>
        <v>48865.420692491236</v>
      </c>
      <c r="I35" s="177">
        <f t="shared" si="11"/>
        <v>51945.874210590511</v>
      </c>
      <c r="J35" s="177">
        <f t="shared" si="11"/>
        <v>55220.535481362444</v>
      </c>
      <c r="K35" s="177">
        <f t="shared" si="11"/>
        <v>58701.648367918729</v>
      </c>
      <c r="L35" s="177">
        <f t="shared" si="11"/>
        <v>62402.228649949597</v>
      </c>
      <c r="M35" s="177">
        <f t="shared" si="11"/>
        <v>66336.112689344431</v>
      </c>
    </row>
    <row r="36" spans="2:13">
      <c r="B36" s="76"/>
      <c r="C36" s="76"/>
      <c r="D36" s="76"/>
      <c r="E36" s="76"/>
      <c r="F36" s="76"/>
      <c r="G36" s="76"/>
      <c r="H36" s="76"/>
      <c r="I36" s="76"/>
      <c r="J36" s="76"/>
      <c r="K36" s="76"/>
      <c r="L36" s="76"/>
      <c r="M36" s="76"/>
    </row>
    <row r="37" spans="2:13">
      <c r="B37" s="76" t="s">
        <v>83</v>
      </c>
      <c r="C37" s="76"/>
      <c r="D37" s="76"/>
      <c r="E37" s="76"/>
      <c r="F37" s="123">
        <f>IS!H26</f>
        <v>10797.34991351286</v>
      </c>
      <c r="G37" s="123">
        <f>IS!I26</f>
        <v>11478.070803862971</v>
      </c>
      <c r="H37" s="123">
        <f>IS!J26</f>
        <v>12201.707866632305</v>
      </c>
      <c r="I37" s="123">
        <f>IS!K26</f>
        <v>12970.966759721523</v>
      </c>
      <c r="J37" s="123">
        <f>IS!L26</f>
        <v>13788.723719726038</v>
      </c>
      <c r="K37" s="123">
        <f>IS!M26</f>
        <v>14658.036316100883</v>
      </c>
      <c r="L37" s="123">
        <f>IS!N26</f>
        <v>15582.154883323839</v>
      </c>
      <c r="M37" s="123">
        <f>IS!O26</f>
        <v>16564.534673801387</v>
      </c>
    </row>
    <row r="38" spans="2:13">
      <c r="B38" s="76"/>
      <c r="C38" s="76"/>
      <c r="D38" s="76"/>
      <c r="E38" s="76"/>
      <c r="F38" s="76"/>
      <c r="G38" s="76"/>
      <c r="H38" s="76"/>
      <c r="I38" s="76"/>
      <c r="J38" s="76"/>
      <c r="K38" s="76"/>
      <c r="L38" s="76"/>
      <c r="M38" s="76"/>
    </row>
    <row r="39" spans="2:13">
      <c r="B39" s="73" t="s">
        <v>84</v>
      </c>
      <c r="C39" s="74"/>
      <c r="D39" s="74"/>
      <c r="E39" s="74"/>
      <c r="F39" s="74"/>
      <c r="G39" s="74"/>
      <c r="H39" s="74"/>
      <c r="I39" s="74"/>
      <c r="J39" s="74"/>
      <c r="K39" s="74"/>
      <c r="L39" s="74"/>
      <c r="M39" s="74"/>
    </row>
    <row r="40" spans="2:13" ht="3" customHeight="1">
      <c r="B40" s="76"/>
      <c r="C40" s="76"/>
      <c r="D40" s="76"/>
      <c r="E40" s="76"/>
      <c r="F40" s="76"/>
      <c r="G40" s="76"/>
      <c r="H40" s="76"/>
      <c r="I40" s="76"/>
      <c r="J40" s="76"/>
      <c r="K40" s="76"/>
      <c r="L40" s="76"/>
      <c r="M40" s="76"/>
    </row>
    <row r="41" spans="2:13">
      <c r="B41" s="76"/>
      <c r="C41" s="76"/>
      <c r="D41" s="76"/>
      <c r="E41" s="76"/>
      <c r="F41" s="176">
        <f t="shared" ref="F41:M41" si="12">F26</f>
        <v>2018</v>
      </c>
      <c r="G41" s="176">
        <f t="shared" si="12"/>
        <v>2019</v>
      </c>
      <c r="H41" s="176">
        <f t="shared" si="12"/>
        <v>2020</v>
      </c>
      <c r="I41" s="176">
        <f t="shared" si="12"/>
        <v>2021</v>
      </c>
      <c r="J41" s="176">
        <f t="shared" si="12"/>
        <v>2022</v>
      </c>
      <c r="K41" s="176">
        <f t="shared" si="12"/>
        <v>2023</v>
      </c>
      <c r="L41" s="176">
        <f t="shared" si="12"/>
        <v>2024</v>
      </c>
      <c r="M41" s="176">
        <f t="shared" si="12"/>
        <v>2025</v>
      </c>
    </row>
    <row r="42" spans="2:13" ht="3" customHeight="1">
      <c r="B42" s="76"/>
      <c r="C42" s="76"/>
      <c r="D42" s="76"/>
      <c r="E42" s="76"/>
      <c r="F42" s="76"/>
      <c r="G42" s="76"/>
      <c r="H42" s="76"/>
      <c r="I42" s="76"/>
      <c r="J42" s="76"/>
      <c r="K42" s="76"/>
      <c r="L42" s="76"/>
      <c r="M42" s="76"/>
    </row>
    <row r="43" spans="2:13">
      <c r="B43" s="76" t="str">
        <f t="shared" ref="B43:B50" si="13">F6</f>
        <v>Revolver</v>
      </c>
      <c r="C43" s="76"/>
      <c r="D43" s="76"/>
      <c r="E43" s="76"/>
      <c r="F43" s="165">
        <v>0</v>
      </c>
      <c r="G43" s="165">
        <v>0</v>
      </c>
      <c r="H43" s="165">
        <v>0</v>
      </c>
      <c r="I43" s="165">
        <v>0</v>
      </c>
      <c r="J43" s="165">
        <v>0</v>
      </c>
      <c r="K43" s="165">
        <v>0</v>
      </c>
      <c r="L43" s="165">
        <v>0</v>
      </c>
      <c r="M43" s="165">
        <v>0</v>
      </c>
    </row>
    <row r="44" spans="2:13">
      <c r="B44" s="76" t="str">
        <f t="shared" si="13"/>
        <v>Term Loan 1</v>
      </c>
      <c r="C44" s="76"/>
      <c r="D44" s="76"/>
      <c r="E44" s="76"/>
      <c r="F44" s="167">
        <v>0</v>
      </c>
      <c r="G44" s="167">
        <v>0</v>
      </c>
      <c r="H44" s="167">
        <v>0</v>
      </c>
      <c r="I44" s="167">
        <v>0</v>
      </c>
      <c r="J44" s="167">
        <v>0</v>
      </c>
      <c r="K44" s="167">
        <v>0</v>
      </c>
      <c r="L44" s="167">
        <v>0</v>
      </c>
      <c r="M44" s="167">
        <v>0</v>
      </c>
    </row>
    <row r="45" spans="2:13">
      <c r="B45" s="76" t="str">
        <f t="shared" si="13"/>
        <v>Term Loan 2</v>
      </c>
      <c r="C45" s="76"/>
      <c r="D45" s="76"/>
      <c r="E45" s="76"/>
      <c r="F45" s="167">
        <v>0</v>
      </c>
      <c r="G45" s="167">
        <v>0</v>
      </c>
      <c r="H45" s="167">
        <v>0</v>
      </c>
      <c r="I45" s="167">
        <v>0</v>
      </c>
      <c r="J45" s="167">
        <v>0</v>
      </c>
      <c r="K45" s="167">
        <v>0</v>
      </c>
      <c r="L45" s="167">
        <v>0</v>
      </c>
      <c r="M45" s="167">
        <v>0</v>
      </c>
    </row>
    <row r="46" spans="2:13">
      <c r="B46" s="76" t="str">
        <f t="shared" si="13"/>
        <v>Term Loan 3</v>
      </c>
      <c r="C46" s="76"/>
      <c r="D46" s="76"/>
      <c r="E46" s="76"/>
      <c r="F46" s="167">
        <v>0</v>
      </c>
      <c r="G46" s="167">
        <v>0</v>
      </c>
      <c r="H46" s="167">
        <v>0</v>
      </c>
      <c r="I46" s="167">
        <v>0</v>
      </c>
      <c r="J46" s="167">
        <v>0</v>
      </c>
      <c r="K46" s="167">
        <v>0</v>
      </c>
      <c r="L46" s="167">
        <v>0</v>
      </c>
      <c r="M46" s="167">
        <v>0</v>
      </c>
    </row>
    <row r="47" spans="2:13">
      <c r="B47" s="76" t="str">
        <f t="shared" si="13"/>
        <v>Secured Note 1</v>
      </c>
      <c r="C47" s="76"/>
      <c r="D47" s="76"/>
      <c r="E47" s="76"/>
      <c r="F47" s="167">
        <v>0</v>
      </c>
      <c r="G47" s="167">
        <v>0</v>
      </c>
      <c r="H47" s="167">
        <v>0</v>
      </c>
      <c r="I47" s="167">
        <v>0</v>
      </c>
      <c r="J47" s="167">
        <v>0</v>
      </c>
      <c r="K47" s="167">
        <v>0</v>
      </c>
      <c r="L47" s="167">
        <v>0</v>
      </c>
      <c r="M47" s="167">
        <v>0</v>
      </c>
    </row>
    <row r="48" spans="2:13">
      <c r="B48" s="76" t="str">
        <f t="shared" si="13"/>
        <v>Secured Note 2</v>
      </c>
      <c r="C48" s="76"/>
      <c r="D48" s="76"/>
      <c r="E48" s="76"/>
      <c r="F48" s="167">
        <v>0</v>
      </c>
      <c r="G48" s="167">
        <v>0</v>
      </c>
      <c r="H48" s="167">
        <v>0</v>
      </c>
      <c r="I48" s="167">
        <v>0</v>
      </c>
      <c r="J48" s="167">
        <v>0</v>
      </c>
      <c r="K48" s="167">
        <v>0</v>
      </c>
      <c r="L48" s="167">
        <v>0</v>
      </c>
      <c r="M48" s="167">
        <v>0</v>
      </c>
    </row>
    <row r="49" spans="2:13">
      <c r="B49" s="76" t="str">
        <f t="shared" si="13"/>
        <v>Unsecured Note 1</v>
      </c>
      <c r="C49" s="76"/>
      <c r="D49" s="76"/>
      <c r="E49" s="76"/>
      <c r="F49" s="167">
        <v>0</v>
      </c>
      <c r="G49" s="167">
        <v>0</v>
      </c>
      <c r="H49" s="167">
        <v>0</v>
      </c>
      <c r="I49" s="167">
        <v>0</v>
      </c>
      <c r="J49" s="167">
        <v>0</v>
      </c>
      <c r="K49" s="167">
        <v>0</v>
      </c>
      <c r="L49" s="167">
        <v>0</v>
      </c>
      <c r="M49" s="167">
        <v>0</v>
      </c>
    </row>
    <row r="50" spans="2:13">
      <c r="B50" s="76" t="str">
        <f t="shared" si="13"/>
        <v>Unsecured Note 2</v>
      </c>
      <c r="C50" s="76"/>
      <c r="D50" s="76"/>
      <c r="E50" s="76"/>
      <c r="F50" s="167">
        <v>0</v>
      </c>
      <c r="G50" s="167">
        <v>0</v>
      </c>
      <c r="H50" s="167">
        <v>0</v>
      </c>
      <c r="I50" s="167">
        <v>0</v>
      </c>
      <c r="J50" s="167">
        <v>0</v>
      </c>
      <c r="K50" s="167">
        <v>0</v>
      </c>
      <c r="L50" s="167">
        <v>0</v>
      </c>
      <c r="M50" s="167">
        <v>0</v>
      </c>
    </row>
    <row r="51" spans="2:13">
      <c r="B51" s="76" t="str">
        <f t="shared" ref="B51:B59" si="14">J8</f>
        <v>Debt 1</v>
      </c>
      <c r="C51" s="76"/>
      <c r="D51" s="76"/>
      <c r="E51" s="76"/>
      <c r="F51" s="167">
        <v>0</v>
      </c>
      <c r="G51" s="167">
        <v>0</v>
      </c>
      <c r="H51" s="167">
        <v>0</v>
      </c>
      <c r="I51" s="167">
        <v>0</v>
      </c>
      <c r="J51" s="167">
        <v>0</v>
      </c>
      <c r="K51" s="167">
        <v>0</v>
      </c>
      <c r="L51" s="167">
        <v>0</v>
      </c>
      <c r="M51" s="167">
        <v>0</v>
      </c>
    </row>
    <row r="52" spans="2:13">
      <c r="B52" s="76" t="str">
        <f t="shared" si="14"/>
        <v>Debt 2</v>
      </c>
      <c r="C52" s="76"/>
      <c r="D52" s="76"/>
      <c r="E52" s="76"/>
      <c r="F52" s="167">
        <v>0</v>
      </c>
      <c r="G52" s="167">
        <v>0</v>
      </c>
      <c r="H52" s="167">
        <v>0</v>
      </c>
      <c r="I52" s="167">
        <v>0</v>
      </c>
      <c r="J52" s="167">
        <v>0</v>
      </c>
      <c r="K52" s="167">
        <v>0</v>
      </c>
      <c r="L52" s="167">
        <v>0</v>
      </c>
      <c r="M52" s="167">
        <v>0</v>
      </c>
    </row>
    <row r="53" spans="2:13">
      <c r="B53" s="76" t="str">
        <f t="shared" si="14"/>
        <v>Debt 3</v>
      </c>
      <c r="C53" s="76"/>
      <c r="D53" s="76"/>
      <c r="E53" s="76"/>
      <c r="F53" s="167">
        <v>0</v>
      </c>
      <c r="G53" s="167">
        <v>0</v>
      </c>
      <c r="H53" s="167">
        <v>0</v>
      </c>
      <c r="I53" s="167">
        <v>0</v>
      </c>
      <c r="J53" s="167">
        <v>0</v>
      </c>
      <c r="K53" s="167">
        <v>0</v>
      </c>
      <c r="L53" s="167">
        <v>0</v>
      </c>
      <c r="M53" s="167">
        <v>0</v>
      </c>
    </row>
    <row r="54" spans="2:13">
      <c r="B54" s="76" t="str">
        <f t="shared" si="14"/>
        <v>Debt 4</v>
      </c>
      <c r="C54" s="76"/>
      <c r="D54" s="76"/>
      <c r="E54" s="76"/>
      <c r="F54" s="167">
        <v>0</v>
      </c>
      <c r="G54" s="167">
        <v>0</v>
      </c>
      <c r="H54" s="167">
        <v>0</v>
      </c>
      <c r="I54" s="167">
        <v>0</v>
      </c>
      <c r="J54" s="167">
        <v>0</v>
      </c>
      <c r="K54" s="167">
        <v>0</v>
      </c>
      <c r="L54" s="167">
        <v>0</v>
      </c>
      <c r="M54" s="167">
        <v>0</v>
      </c>
    </row>
    <row r="55" spans="2:13">
      <c r="B55" s="76" t="str">
        <f t="shared" si="14"/>
        <v>Debt 5</v>
      </c>
      <c r="C55" s="76"/>
      <c r="D55" s="76"/>
      <c r="E55" s="76"/>
      <c r="F55" s="167">
        <v>0</v>
      </c>
      <c r="G55" s="167">
        <v>0</v>
      </c>
      <c r="H55" s="167">
        <v>0</v>
      </c>
      <c r="I55" s="167">
        <v>0</v>
      </c>
      <c r="J55" s="167">
        <v>0</v>
      </c>
      <c r="K55" s="167">
        <v>0</v>
      </c>
      <c r="L55" s="167">
        <v>0</v>
      </c>
      <c r="M55" s="167">
        <v>0</v>
      </c>
    </row>
    <row r="56" spans="2:13">
      <c r="B56" s="76" t="str">
        <f t="shared" si="14"/>
        <v>Debt 6</v>
      </c>
      <c r="C56" s="76"/>
      <c r="D56" s="76"/>
      <c r="E56" s="76"/>
      <c r="F56" s="167">
        <v>0</v>
      </c>
      <c r="G56" s="167">
        <v>0</v>
      </c>
      <c r="H56" s="167">
        <v>0</v>
      </c>
      <c r="I56" s="167">
        <v>0</v>
      </c>
      <c r="J56" s="167">
        <v>0</v>
      </c>
      <c r="K56" s="167">
        <v>0</v>
      </c>
      <c r="L56" s="167">
        <v>0</v>
      </c>
      <c r="M56" s="167">
        <v>0</v>
      </c>
    </row>
    <row r="57" spans="2:13">
      <c r="B57" s="76" t="str">
        <f t="shared" si="14"/>
        <v>Debt 7</v>
      </c>
      <c r="C57" s="76"/>
      <c r="D57" s="76"/>
      <c r="E57" s="76"/>
      <c r="F57" s="167">
        <v>0</v>
      </c>
      <c r="G57" s="167">
        <v>0</v>
      </c>
      <c r="H57" s="167">
        <v>0</v>
      </c>
      <c r="I57" s="167">
        <v>0</v>
      </c>
      <c r="J57" s="167">
        <v>0</v>
      </c>
      <c r="K57" s="167">
        <v>0</v>
      </c>
      <c r="L57" s="167">
        <v>0</v>
      </c>
      <c r="M57" s="167">
        <v>0</v>
      </c>
    </row>
    <row r="58" spans="2:13">
      <c r="B58" s="76" t="str">
        <f t="shared" si="14"/>
        <v>Debt 8</v>
      </c>
      <c r="C58" s="76"/>
      <c r="D58" s="76"/>
      <c r="E58" s="76"/>
      <c r="F58" s="167">
        <v>0</v>
      </c>
      <c r="G58" s="167">
        <v>0</v>
      </c>
      <c r="H58" s="167">
        <v>0</v>
      </c>
      <c r="I58" s="167">
        <v>0</v>
      </c>
      <c r="J58" s="167">
        <v>0</v>
      </c>
      <c r="K58" s="167">
        <v>0</v>
      </c>
      <c r="L58" s="167">
        <v>0</v>
      </c>
      <c r="M58" s="167">
        <v>0</v>
      </c>
    </row>
    <row r="59" spans="2:13">
      <c r="B59" s="76" t="str">
        <f t="shared" si="14"/>
        <v>Debt 9</v>
      </c>
      <c r="C59" s="76"/>
      <c r="D59" s="76"/>
      <c r="E59" s="76"/>
      <c r="F59" s="167">
        <v>0</v>
      </c>
      <c r="G59" s="167">
        <v>0</v>
      </c>
      <c r="H59" s="167">
        <v>0</v>
      </c>
      <c r="I59" s="167">
        <v>0</v>
      </c>
      <c r="J59" s="167">
        <v>0</v>
      </c>
      <c r="K59" s="167">
        <v>0</v>
      </c>
      <c r="L59" s="167">
        <v>0</v>
      </c>
      <c r="M59" s="167">
        <v>0</v>
      </c>
    </row>
    <row r="60" spans="2:13">
      <c r="B60" s="76"/>
      <c r="C60" s="76"/>
      <c r="D60" s="76"/>
      <c r="E60" s="76"/>
      <c r="F60" s="177">
        <f t="shared" ref="F60:M60" si="15">SUM(F43:F59)</f>
        <v>0</v>
      </c>
      <c r="G60" s="177">
        <f t="shared" si="15"/>
        <v>0</v>
      </c>
      <c r="H60" s="177">
        <f t="shared" si="15"/>
        <v>0</v>
      </c>
      <c r="I60" s="177">
        <f t="shared" si="15"/>
        <v>0</v>
      </c>
      <c r="J60" s="177">
        <f t="shared" si="15"/>
        <v>0</v>
      </c>
      <c r="K60" s="177">
        <f t="shared" si="15"/>
        <v>0</v>
      </c>
      <c r="L60" s="177">
        <f t="shared" si="15"/>
        <v>0</v>
      </c>
      <c r="M60" s="177">
        <f t="shared" si="15"/>
        <v>0</v>
      </c>
    </row>
    <row r="61" spans="2:13">
      <c r="B61" s="73" t="s">
        <v>85</v>
      </c>
      <c r="C61" s="74"/>
      <c r="D61" s="74"/>
      <c r="E61" s="74"/>
      <c r="F61" s="74"/>
      <c r="G61" s="74"/>
      <c r="H61" s="74"/>
      <c r="I61" s="74"/>
      <c r="J61" s="74"/>
      <c r="K61" s="74"/>
      <c r="L61" s="74"/>
      <c r="M61" s="74"/>
    </row>
    <row r="62" spans="2:13" ht="3" customHeight="1">
      <c r="B62" s="76"/>
      <c r="C62" s="76"/>
      <c r="D62" s="76"/>
      <c r="E62" s="76"/>
      <c r="F62" s="76"/>
      <c r="G62" s="76"/>
      <c r="H62" s="76"/>
      <c r="I62" s="76"/>
      <c r="J62" s="76"/>
      <c r="K62" s="76"/>
      <c r="L62" s="76"/>
      <c r="M62" s="76"/>
    </row>
    <row r="63" spans="2:13">
      <c r="B63" s="76"/>
      <c r="C63" s="76"/>
      <c r="D63" s="76"/>
      <c r="E63" s="76"/>
      <c r="F63" s="176">
        <f t="shared" ref="F63:M63" si="16">F26</f>
        <v>2018</v>
      </c>
      <c r="G63" s="176">
        <f t="shared" si="16"/>
        <v>2019</v>
      </c>
      <c r="H63" s="176">
        <f t="shared" si="16"/>
        <v>2020</v>
      </c>
      <c r="I63" s="176">
        <f t="shared" si="16"/>
        <v>2021</v>
      </c>
      <c r="J63" s="176">
        <f t="shared" si="16"/>
        <v>2022</v>
      </c>
      <c r="K63" s="176">
        <f t="shared" si="16"/>
        <v>2023</v>
      </c>
      <c r="L63" s="176">
        <f t="shared" si="16"/>
        <v>2024</v>
      </c>
      <c r="M63" s="176">
        <f t="shared" si="16"/>
        <v>2025</v>
      </c>
    </row>
    <row r="64" spans="2:13" ht="3" customHeight="1">
      <c r="B64" s="76"/>
      <c r="C64" s="76"/>
      <c r="D64" s="76"/>
      <c r="E64" s="76"/>
      <c r="F64" s="76"/>
      <c r="G64" s="76"/>
      <c r="H64" s="76"/>
      <c r="I64" s="76"/>
      <c r="J64" s="76"/>
      <c r="K64" s="76"/>
      <c r="L64" s="76"/>
      <c r="M64" s="76"/>
    </row>
    <row r="65" spans="2:13">
      <c r="B65" s="76" t="str">
        <f t="shared" ref="B65:B72" si="17">F6</f>
        <v>Revolver</v>
      </c>
      <c r="C65" s="76"/>
      <c r="D65" s="76"/>
      <c r="E65" s="76"/>
      <c r="F65" s="178">
        <f t="shared" ref="F65:M74" si="18">MIN(E167,F43)</f>
        <v>0</v>
      </c>
      <c r="G65" s="178">
        <f t="shared" si="18"/>
        <v>0</v>
      </c>
      <c r="H65" s="178">
        <f t="shared" si="18"/>
        <v>0</v>
      </c>
      <c r="I65" s="178">
        <f t="shared" si="18"/>
        <v>0</v>
      </c>
      <c r="J65" s="178">
        <f t="shared" si="18"/>
        <v>0</v>
      </c>
      <c r="K65" s="178">
        <f t="shared" si="18"/>
        <v>0</v>
      </c>
      <c r="L65" s="178">
        <f t="shared" si="18"/>
        <v>0</v>
      </c>
      <c r="M65" s="178">
        <f t="shared" si="18"/>
        <v>0</v>
      </c>
    </row>
    <row r="66" spans="2:13">
      <c r="B66" s="76" t="str">
        <f t="shared" si="17"/>
        <v>Term Loan 1</v>
      </c>
      <c r="C66" s="76"/>
      <c r="D66" s="76"/>
      <c r="E66" s="76"/>
      <c r="F66" s="78">
        <f t="shared" si="18"/>
        <v>0</v>
      </c>
      <c r="G66" s="78">
        <f t="shared" si="18"/>
        <v>0</v>
      </c>
      <c r="H66" s="78">
        <f t="shared" si="18"/>
        <v>0</v>
      </c>
      <c r="I66" s="78">
        <f t="shared" si="18"/>
        <v>0</v>
      </c>
      <c r="J66" s="78">
        <f t="shared" si="18"/>
        <v>0</v>
      </c>
      <c r="K66" s="78">
        <f t="shared" si="18"/>
        <v>0</v>
      </c>
      <c r="L66" s="78">
        <f t="shared" si="18"/>
        <v>0</v>
      </c>
      <c r="M66" s="78">
        <f t="shared" si="18"/>
        <v>0</v>
      </c>
    </row>
    <row r="67" spans="2:13">
      <c r="B67" s="76" t="str">
        <f t="shared" si="17"/>
        <v>Term Loan 2</v>
      </c>
      <c r="C67" s="76"/>
      <c r="D67" s="76"/>
      <c r="E67" s="76"/>
      <c r="F67" s="78">
        <f t="shared" si="18"/>
        <v>0</v>
      </c>
      <c r="G67" s="78">
        <f t="shared" si="18"/>
        <v>0</v>
      </c>
      <c r="H67" s="78">
        <f t="shared" si="18"/>
        <v>0</v>
      </c>
      <c r="I67" s="78">
        <f t="shared" si="18"/>
        <v>0</v>
      </c>
      <c r="J67" s="78">
        <f t="shared" si="18"/>
        <v>0</v>
      </c>
      <c r="K67" s="78">
        <f t="shared" si="18"/>
        <v>0</v>
      </c>
      <c r="L67" s="78">
        <f t="shared" si="18"/>
        <v>0</v>
      </c>
      <c r="M67" s="78">
        <f t="shared" si="18"/>
        <v>0</v>
      </c>
    </row>
    <row r="68" spans="2:13">
      <c r="B68" s="76" t="str">
        <f t="shared" si="17"/>
        <v>Term Loan 3</v>
      </c>
      <c r="C68" s="76"/>
      <c r="D68" s="76"/>
      <c r="E68" s="76"/>
      <c r="F68" s="78">
        <f t="shared" si="18"/>
        <v>0</v>
      </c>
      <c r="G68" s="78">
        <f t="shared" si="18"/>
        <v>0</v>
      </c>
      <c r="H68" s="78">
        <f t="shared" si="18"/>
        <v>0</v>
      </c>
      <c r="I68" s="78">
        <f t="shared" si="18"/>
        <v>0</v>
      </c>
      <c r="J68" s="78">
        <f t="shared" si="18"/>
        <v>0</v>
      </c>
      <c r="K68" s="78">
        <f t="shared" si="18"/>
        <v>0</v>
      </c>
      <c r="L68" s="78">
        <f t="shared" si="18"/>
        <v>0</v>
      </c>
      <c r="M68" s="78">
        <f t="shared" si="18"/>
        <v>0</v>
      </c>
    </row>
    <row r="69" spans="2:13">
      <c r="B69" s="76" t="str">
        <f t="shared" si="17"/>
        <v>Secured Note 1</v>
      </c>
      <c r="C69" s="76"/>
      <c r="D69" s="76"/>
      <c r="E69" s="76"/>
      <c r="F69" s="78">
        <f t="shared" si="18"/>
        <v>0</v>
      </c>
      <c r="G69" s="78">
        <f t="shared" si="18"/>
        <v>0</v>
      </c>
      <c r="H69" s="78">
        <f t="shared" si="18"/>
        <v>0</v>
      </c>
      <c r="I69" s="78">
        <f t="shared" si="18"/>
        <v>0</v>
      </c>
      <c r="J69" s="78">
        <f t="shared" si="18"/>
        <v>0</v>
      </c>
      <c r="K69" s="78">
        <f t="shared" si="18"/>
        <v>0</v>
      </c>
      <c r="L69" s="78">
        <f t="shared" si="18"/>
        <v>0</v>
      </c>
      <c r="M69" s="78">
        <f t="shared" si="18"/>
        <v>0</v>
      </c>
    </row>
    <row r="70" spans="2:13">
      <c r="B70" s="76" t="str">
        <f t="shared" si="17"/>
        <v>Secured Note 2</v>
      </c>
      <c r="C70" s="76"/>
      <c r="D70" s="76"/>
      <c r="E70" s="76"/>
      <c r="F70" s="78">
        <f t="shared" si="18"/>
        <v>0</v>
      </c>
      <c r="G70" s="78">
        <f t="shared" si="18"/>
        <v>0</v>
      </c>
      <c r="H70" s="78">
        <f t="shared" si="18"/>
        <v>0</v>
      </c>
      <c r="I70" s="78">
        <f t="shared" si="18"/>
        <v>0</v>
      </c>
      <c r="J70" s="78">
        <f t="shared" si="18"/>
        <v>0</v>
      </c>
      <c r="K70" s="78">
        <f t="shared" si="18"/>
        <v>0</v>
      </c>
      <c r="L70" s="78">
        <f t="shared" si="18"/>
        <v>0</v>
      </c>
      <c r="M70" s="78">
        <f t="shared" si="18"/>
        <v>0</v>
      </c>
    </row>
    <row r="71" spans="2:13">
      <c r="B71" s="76" t="str">
        <f t="shared" si="17"/>
        <v>Unsecured Note 1</v>
      </c>
      <c r="C71" s="76"/>
      <c r="D71" s="76"/>
      <c r="E71" s="76"/>
      <c r="F71" s="78">
        <f t="shared" si="18"/>
        <v>0</v>
      </c>
      <c r="G71" s="78">
        <f t="shared" si="18"/>
        <v>0</v>
      </c>
      <c r="H71" s="78">
        <f t="shared" si="18"/>
        <v>0</v>
      </c>
      <c r="I71" s="78">
        <f t="shared" si="18"/>
        <v>0</v>
      </c>
      <c r="J71" s="78">
        <f t="shared" si="18"/>
        <v>0</v>
      </c>
      <c r="K71" s="78">
        <f t="shared" si="18"/>
        <v>0</v>
      </c>
      <c r="L71" s="78">
        <f t="shared" si="18"/>
        <v>0</v>
      </c>
      <c r="M71" s="78">
        <f t="shared" si="18"/>
        <v>0</v>
      </c>
    </row>
    <row r="72" spans="2:13">
      <c r="B72" s="76" t="str">
        <f t="shared" si="17"/>
        <v>Unsecured Note 2</v>
      </c>
      <c r="C72" s="76"/>
      <c r="D72" s="76"/>
      <c r="E72" s="76"/>
      <c r="F72" s="78">
        <f t="shared" si="18"/>
        <v>0</v>
      </c>
      <c r="G72" s="78">
        <f t="shared" si="18"/>
        <v>0</v>
      </c>
      <c r="H72" s="78">
        <f t="shared" si="18"/>
        <v>0</v>
      </c>
      <c r="I72" s="78">
        <f t="shared" si="18"/>
        <v>0</v>
      </c>
      <c r="J72" s="78">
        <f t="shared" si="18"/>
        <v>0</v>
      </c>
      <c r="K72" s="78">
        <f t="shared" si="18"/>
        <v>0</v>
      </c>
      <c r="L72" s="78">
        <f t="shared" si="18"/>
        <v>0</v>
      </c>
      <c r="M72" s="78">
        <f t="shared" si="18"/>
        <v>0</v>
      </c>
    </row>
    <row r="73" spans="2:13">
      <c r="B73" s="76" t="str">
        <f t="shared" ref="B73:B81" si="19">J8</f>
        <v>Debt 1</v>
      </c>
      <c r="C73" s="76"/>
      <c r="D73" s="76"/>
      <c r="E73" s="76"/>
      <c r="F73" s="78">
        <f t="shared" si="18"/>
        <v>0</v>
      </c>
      <c r="G73" s="78">
        <f t="shared" si="18"/>
        <v>0</v>
      </c>
      <c r="H73" s="78">
        <f t="shared" si="18"/>
        <v>0</v>
      </c>
      <c r="I73" s="78">
        <f t="shared" si="18"/>
        <v>0</v>
      </c>
      <c r="J73" s="78">
        <f t="shared" si="18"/>
        <v>0</v>
      </c>
      <c r="K73" s="78">
        <f t="shared" si="18"/>
        <v>0</v>
      </c>
      <c r="L73" s="78">
        <f t="shared" si="18"/>
        <v>0</v>
      </c>
      <c r="M73" s="78">
        <f t="shared" si="18"/>
        <v>0</v>
      </c>
    </row>
    <row r="74" spans="2:13">
      <c r="B74" s="76" t="str">
        <f t="shared" si="19"/>
        <v>Debt 2</v>
      </c>
      <c r="C74" s="76"/>
      <c r="D74" s="76"/>
      <c r="E74" s="76"/>
      <c r="F74" s="78">
        <f t="shared" si="18"/>
        <v>0</v>
      </c>
      <c r="G74" s="78">
        <f t="shared" si="18"/>
        <v>0</v>
      </c>
      <c r="H74" s="78">
        <f t="shared" si="18"/>
        <v>0</v>
      </c>
      <c r="I74" s="78">
        <f t="shared" si="18"/>
        <v>0</v>
      </c>
      <c r="J74" s="78">
        <f t="shared" si="18"/>
        <v>0</v>
      </c>
      <c r="K74" s="78">
        <f t="shared" si="18"/>
        <v>0</v>
      </c>
      <c r="L74" s="78">
        <f t="shared" si="18"/>
        <v>0</v>
      </c>
      <c r="M74" s="78">
        <f t="shared" si="18"/>
        <v>0</v>
      </c>
    </row>
    <row r="75" spans="2:13">
      <c r="B75" s="76" t="str">
        <f t="shared" si="19"/>
        <v>Debt 3</v>
      </c>
      <c r="C75" s="76"/>
      <c r="D75" s="76"/>
      <c r="E75" s="76"/>
      <c r="F75" s="78">
        <f t="shared" ref="F75:M81" si="20">MIN(E177,F53)</f>
        <v>0</v>
      </c>
      <c r="G75" s="78">
        <f t="shared" si="20"/>
        <v>0</v>
      </c>
      <c r="H75" s="78">
        <f t="shared" si="20"/>
        <v>0</v>
      </c>
      <c r="I75" s="78">
        <f t="shared" si="20"/>
        <v>0</v>
      </c>
      <c r="J75" s="78">
        <f t="shared" si="20"/>
        <v>0</v>
      </c>
      <c r="K75" s="78">
        <f t="shared" si="20"/>
        <v>0</v>
      </c>
      <c r="L75" s="78">
        <f t="shared" si="20"/>
        <v>0</v>
      </c>
      <c r="M75" s="78">
        <f t="shared" si="20"/>
        <v>0</v>
      </c>
    </row>
    <row r="76" spans="2:13">
      <c r="B76" s="76" t="str">
        <f t="shared" si="19"/>
        <v>Debt 4</v>
      </c>
      <c r="C76" s="76"/>
      <c r="D76" s="76"/>
      <c r="E76" s="76"/>
      <c r="F76" s="78">
        <f t="shared" si="20"/>
        <v>0</v>
      </c>
      <c r="G76" s="78">
        <f t="shared" si="20"/>
        <v>0</v>
      </c>
      <c r="H76" s="78">
        <f t="shared" si="20"/>
        <v>0</v>
      </c>
      <c r="I76" s="78">
        <f t="shared" si="20"/>
        <v>0</v>
      </c>
      <c r="J76" s="78">
        <f t="shared" si="20"/>
        <v>0</v>
      </c>
      <c r="K76" s="78">
        <f t="shared" si="20"/>
        <v>0</v>
      </c>
      <c r="L76" s="78">
        <f t="shared" si="20"/>
        <v>0</v>
      </c>
      <c r="M76" s="78">
        <f t="shared" si="20"/>
        <v>0</v>
      </c>
    </row>
    <row r="77" spans="2:13">
      <c r="B77" s="76" t="str">
        <f t="shared" si="19"/>
        <v>Debt 5</v>
      </c>
      <c r="C77" s="76"/>
      <c r="D77" s="76"/>
      <c r="E77" s="76"/>
      <c r="F77" s="78">
        <f t="shared" si="20"/>
        <v>0</v>
      </c>
      <c r="G77" s="78">
        <f t="shared" si="20"/>
        <v>0</v>
      </c>
      <c r="H77" s="78">
        <f t="shared" si="20"/>
        <v>0</v>
      </c>
      <c r="I77" s="78">
        <f t="shared" si="20"/>
        <v>0</v>
      </c>
      <c r="J77" s="78">
        <f t="shared" si="20"/>
        <v>0</v>
      </c>
      <c r="K77" s="78">
        <f t="shared" si="20"/>
        <v>0</v>
      </c>
      <c r="L77" s="78">
        <f t="shared" si="20"/>
        <v>0</v>
      </c>
      <c r="M77" s="78">
        <f t="shared" si="20"/>
        <v>0</v>
      </c>
    </row>
    <row r="78" spans="2:13">
      <c r="B78" s="76" t="str">
        <f t="shared" si="19"/>
        <v>Debt 6</v>
      </c>
      <c r="C78" s="76"/>
      <c r="D78" s="76"/>
      <c r="E78" s="76"/>
      <c r="F78" s="78">
        <f t="shared" si="20"/>
        <v>0</v>
      </c>
      <c r="G78" s="78">
        <f t="shared" si="20"/>
        <v>0</v>
      </c>
      <c r="H78" s="78">
        <f t="shared" si="20"/>
        <v>0</v>
      </c>
      <c r="I78" s="78">
        <f t="shared" si="20"/>
        <v>0</v>
      </c>
      <c r="J78" s="78">
        <f t="shared" si="20"/>
        <v>0</v>
      </c>
      <c r="K78" s="78">
        <f t="shared" si="20"/>
        <v>0</v>
      </c>
      <c r="L78" s="78">
        <f t="shared" si="20"/>
        <v>0</v>
      </c>
      <c r="M78" s="78">
        <f t="shared" si="20"/>
        <v>0</v>
      </c>
    </row>
    <row r="79" spans="2:13">
      <c r="B79" s="76" t="str">
        <f t="shared" si="19"/>
        <v>Debt 7</v>
      </c>
      <c r="C79" s="76"/>
      <c r="D79" s="76"/>
      <c r="E79" s="76"/>
      <c r="F79" s="78">
        <f t="shared" si="20"/>
        <v>0</v>
      </c>
      <c r="G79" s="78">
        <f t="shared" si="20"/>
        <v>0</v>
      </c>
      <c r="H79" s="78">
        <f t="shared" si="20"/>
        <v>0</v>
      </c>
      <c r="I79" s="78">
        <f t="shared" si="20"/>
        <v>0</v>
      </c>
      <c r="J79" s="78">
        <f t="shared" si="20"/>
        <v>0</v>
      </c>
      <c r="K79" s="78">
        <f t="shared" si="20"/>
        <v>0</v>
      </c>
      <c r="L79" s="78">
        <f t="shared" si="20"/>
        <v>0</v>
      </c>
      <c r="M79" s="78">
        <f t="shared" si="20"/>
        <v>0</v>
      </c>
    </row>
    <row r="80" spans="2:13">
      <c r="B80" s="76" t="str">
        <f t="shared" si="19"/>
        <v>Debt 8</v>
      </c>
      <c r="C80" s="76"/>
      <c r="D80" s="76"/>
      <c r="E80" s="76"/>
      <c r="F80" s="78">
        <f t="shared" si="20"/>
        <v>0</v>
      </c>
      <c r="G80" s="78">
        <f t="shared" si="20"/>
        <v>0</v>
      </c>
      <c r="H80" s="78">
        <f t="shared" si="20"/>
        <v>0</v>
      </c>
      <c r="I80" s="78">
        <f t="shared" si="20"/>
        <v>0</v>
      </c>
      <c r="J80" s="78">
        <f t="shared" si="20"/>
        <v>0</v>
      </c>
      <c r="K80" s="78">
        <f t="shared" si="20"/>
        <v>0</v>
      </c>
      <c r="L80" s="78">
        <f t="shared" si="20"/>
        <v>0</v>
      </c>
      <c r="M80" s="78">
        <f t="shared" si="20"/>
        <v>0</v>
      </c>
    </row>
    <row r="81" spans="2:13">
      <c r="B81" s="76" t="str">
        <f t="shared" si="19"/>
        <v>Debt 9</v>
      </c>
      <c r="C81" s="76"/>
      <c r="D81" s="76"/>
      <c r="E81" s="76"/>
      <c r="F81" s="78">
        <f t="shared" si="20"/>
        <v>0</v>
      </c>
      <c r="G81" s="78">
        <f t="shared" si="20"/>
        <v>0</v>
      </c>
      <c r="H81" s="78">
        <f t="shared" si="20"/>
        <v>0</v>
      </c>
      <c r="I81" s="78">
        <f t="shared" si="20"/>
        <v>0</v>
      </c>
      <c r="J81" s="78">
        <f t="shared" si="20"/>
        <v>0</v>
      </c>
      <c r="K81" s="78">
        <f t="shared" si="20"/>
        <v>0</v>
      </c>
      <c r="L81" s="78">
        <f t="shared" si="20"/>
        <v>0</v>
      </c>
      <c r="M81" s="78">
        <f t="shared" si="20"/>
        <v>0</v>
      </c>
    </row>
    <row r="82" spans="2:13">
      <c r="B82" s="76"/>
      <c r="C82" s="76"/>
      <c r="D82" s="76"/>
      <c r="E82" s="76"/>
      <c r="F82" s="177">
        <f t="shared" ref="F82:M82" si="21">SUM(F65:F81)</f>
        <v>0</v>
      </c>
      <c r="G82" s="177">
        <f t="shared" si="21"/>
        <v>0</v>
      </c>
      <c r="H82" s="177">
        <f t="shared" si="21"/>
        <v>0</v>
      </c>
      <c r="I82" s="177">
        <f t="shared" si="21"/>
        <v>0</v>
      </c>
      <c r="J82" s="177">
        <f t="shared" si="21"/>
        <v>0</v>
      </c>
      <c r="K82" s="177">
        <f t="shared" si="21"/>
        <v>0</v>
      </c>
      <c r="L82" s="177">
        <f t="shared" si="21"/>
        <v>0</v>
      </c>
      <c r="M82" s="177">
        <f t="shared" si="21"/>
        <v>0</v>
      </c>
    </row>
    <row r="83" spans="2:13">
      <c r="B83" s="76"/>
      <c r="C83" s="76"/>
      <c r="D83" s="76"/>
      <c r="E83" s="76"/>
      <c r="F83" s="76"/>
      <c r="G83" s="76"/>
      <c r="H83" s="76"/>
      <c r="I83" s="76"/>
      <c r="J83" s="76"/>
      <c r="K83" s="76"/>
      <c r="L83" s="76"/>
      <c r="M83" s="76"/>
    </row>
    <row r="84" spans="2:13">
      <c r="B84" s="73" t="s">
        <v>86</v>
      </c>
      <c r="C84" s="74"/>
      <c r="D84" s="74"/>
      <c r="E84" s="74"/>
      <c r="F84" s="74"/>
      <c r="G84" s="74"/>
      <c r="H84" s="74"/>
      <c r="I84" s="74"/>
      <c r="J84" s="74"/>
      <c r="K84" s="74"/>
      <c r="L84" s="74"/>
      <c r="M84" s="74"/>
    </row>
    <row r="85" spans="2:13" ht="3" customHeight="1">
      <c r="B85" s="76"/>
      <c r="C85" s="76"/>
      <c r="D85" s="76"/>
      <c r="E85" s="76"/>
      <c r="F85" s="76"/>
      <c r="G85" s="76"/>
      <c r="H85" s="76"/>
      <c r="I85" s="76"/>
      <c r="J85" s="76"/>
      <c r="K85" s="76"/>
      <c r="L85" s="76"/>
      <c r="M85" s="76"/>
    </row>
    <row r="86" spans="2:13">
      <c r="B86" s="76"/>
      <c r="C86" s="76"/>
      <c r="D86" s="76"/>
      <c r="E86" s="76"/>
      <c r="F86" s="176">
        <f t="shared" ref="F86:M86" si="22">F26</f>
        <v>2018</v>
      </c>
      <c r="G86" s="176">
        <f t="shared" si="22"/>
        <v>2019</v>
      </c>
      <c r="H86" s="176">
        <f t="shared" si="22"/>
        <v>2020</v>
      </c>
      <c r="I86" s="176">
        <f t="shared" si="22"/>
        <v>2021</v>
      </c>
      <c r="J86" s="176">
        <f t="shared" si="22"/>
        <v>2022</v>
      </c>
      <c r="K86" s="176">
        <f t="shared" si="22"/>
        <v>2023</v>
      </c>
      <c r="L86" s="176">
        <f t="shared" si="22"/>
        <v>2024</v>
      </c>
      <c r="M86" s="176">
        <f t="shared" si="22"/>
        <v>2025</v>
      </c>
    </row>
    <row r="87" spans="2:13" ht="3" customHeight="1">
      <c r="B87" s="76"/>
      <c r="C87" s="76"/>
      <c r="D87" s="76"/>
      <c r="E87" s="76"/>
      <c r="F87" s="76"/>
      <c r="G87" s="76"/>
      <c r="H87" s="76"/>
      <c r="I87" s="76"/>
      <c r="J87" s="76"/>
      <c r="K87" s="76"/>
      <c r="L87" s="76"/>
      <c r="M87" s="76"/>
    </row>
    <row r="88" spans="2:13">
      <c r="B88" s="76" t="s">
        <v>87</v>
      </c>
      <c r="C88" s="76"/>
      <c r="D88" s="76"/>
      <c r="E88" s="76"/>
      <c r="F88" s="178">
        <f t="shared" ref="F88:M88" si="23">F35-F82</f>
        <v>43241.749083074028</v>
      </c>
      <c r="G88" s="178">
        <f t="shared" si="23"/>
        <v>45967.657201083246</v>
      </c>
      <c r="H88" s="178">
        <f t="shared" si="23"/>
        <v>48865.420692491236</v>
      </c>
      <c r="I88" s="178">
        <f t="shared" si="23"/>
        <v>51945.874210590511</v>
      </c>
      <c r="J88" s="178">
        <f t="shared" si="23"/>
        <v>55220.535481362444</v>
      </c>
      <c r="K88" s="178">
        <f t="shared" si="23"/>
        <v>58701.648367918729</v>
      </c>
      <c r="L88" s="178">
        <f t="shared" si="23"/>
        <v>62402.228649949597</v>
      </c>
      <c r="M88" s="178">
        <f t="shared" si="23"/>
        <v>66336.112689344431</v>
      </c>
    </row>
    <row r="89" spans="2:13">
      <c r="B89" s="76" t="s">
        <v>88</v>
      </c>
      <c r="C89" s="179">
        <v>0</v>
      </c>
      <c r="D89" s="76"/>
      <c r="E89" s="76"/>
      <c r="F89" s="76"/>
      <c r="G89" s="76"/>
      <c r="H89" s="76"/>
      <c r="I89" s="76"/>
      <c r="J89" s="76"/>
      <c r="K89" s="76"/>
      <c r="L89" s="76"/>
      <c r="M89" s="76"/>
    </row>
    <row r="90" spans="2:13">
      <c r="B90" s="76" t="s">
        <v>89</v>
      </c>
      <c r="C90" s="76"/>
      <c r="D90" s="76"/>
      <c r="E90" s="76"/>
      <c r="F90" s="177">
        <f>F88+E145-C89</f>
        <v>312136.74908307404</v>
      </c>
      <c r="G90" s="177">
        <f>G88+F145-C89</f>
        <v>358104.4062841573</v>
      </c>
      <c r="H90" s="177">
        <f>H88+G145-C89</f>
        <v>406969.82697664853</v>
      </c>
      <c r="I90" s="177">
        <f>I88+H145-C89</f>
        <v>458915.70118723903</v>
      </c>
      <c r="J90" s="177">
        <f>J88+I145-C89</f>
        <v>514136.23666860146</v>
      </c>
      <c r="K90" s="177">
        <f>K88+J145-C89</f>
        <v>572837.88503652019</v>
      </c>
      <c r="L90" s="177">
        <f>L88+K145-C89</f>
        <v>635240.11368646985</v>
      </c>
      <c r="M90" s="177">
        <f>M88+L145-C89</f>
        <v>701576.22637581429</v>
      </c>
    </row>
    <row r="91" spans="2:13">
      <c r="B91" s="76"/>
      <c r="C91" s="76"/>
      <c r="D91" s="76"/>
      <c r="E91" s="76"/>
      <c r="F91" s="76"/>
      <c r="G91" s="76"/>
      <c r="H91" s="76"/>
      <c r="I91" s="76"/>
      <c r="J91" s="76"/>
      <c r="K91" s="76"/>
      <c r="L91" s="76"/>
      <c r="M91" s="76"/>
    </row>
    <row r="92" spans="2:13">
      <c r="B92" s="73" t="s">
        <v>90</v>
      </c>
      <c r="C92" s="74"/>
      <c r="D92" s="74"/>
      <c r="E92" s="74"/>
      <c r="F92" s="74"/>
      <c r="G92" s="74"/>
      <c r="H92" s="74"/>
      <c r="I92" s="74"/>
      <c r="J92" s="74"/>
      <c r="K92" s="74"/>
      <c r="L92" s="74"/>
      <c r="M92" s="74"/>
    </row>
    <row r="93" spans="2:13" ht="3" customHeight="1">
      <c r="B93" s="76"/>
      <c r="C93" s="76"/>
      <c r="D93" s="76"/>
      <c r="E93" s="76"/>
      <c r="F93" s="76"/>
      <c r="G93" s="76"/>
      <c r="H93" s="76"/>
      <c r="I93" s="76"/>
      <c r="J93" s="76"/>
      <c r="K93" s="76"/>
      <c r="L93" s="76"/>
      <c r="M93" s="76"/>
    </row>
    <row r="94" spans="2:13">
      <c r="B94" s="76"/>
      <c r="C94" s="76"/>
      <c r="D94" s="76"/>
      <c r="E94" s="76"/>
      <c r="F94" s="176">
        <f t="shared" ref="F94:M94" si="24">F26</f>
        <v>2018</v>
      </c>
      <c r="G94" s="176">
        <f t="shared" si="24"/>
        <v>2019</v>
      </c>
      <c r="H94" s="176">
        <f t="shared" si="24"/>
        <v>2020</v>
      </c>
      <c r="I94" s="176">
        <f t="shared" si="24"/>
        <v>2021</v>
      </c>
      <c r="J94" s="176">
        <f t="shared" si="24"/>
        <v>2022</v>
      </c>
      <c r="K94" s="176">
        <f t="shared" si="24"/>
        <v>2023</v>
      </c>
      <c r="L94" s="176">
        <f t="shared" si="24"/>
        <v>2024</v>
      </c>
      <c r="M94" s="176">
        <f t="shared" si="24"/>
        <v>2025</v>
      </c>
    </row>
    <row r="95" spans="2:13" ht="3" customHeight="1">
      <c r="B95" s="76"/>
      <c r="C95" s="76"/>
      <c r="D95" s="76"/>
      <c r="E95" s="76"/>
      <c r="F95" s="76"/>
      <c r="G95" s="76"/>
      <c r="H95" s="76"/>
      <c r="I95" s="76"/>
      <c r="J95" s="76"/>
      <c r="K95" s="76"/>
      <c r="L95" s="76"/>
      <c r="M95" s="76"/>
    </row>
    <row r="96" spans="2:13">
      <c r="B96" s="76" t="str">
        <f>F6</f>
        <v>Revolver</v>
      </c>
      <c r="C96" s="76" t="s">
        <v>92</v>
      </c>
      <c r="D96" s="180">
        <v>1</v>
      </c>
      <c r="E96" s="76"/>
      <c r="F96" s="178">
        <f>MIN(E167-F65,F90*D96)</f>
        <v>0</v>
      </c>
      <c r="G96" s="178">
        <f>MIN(F167-G65,G90*D96)</f>
        <v>0</v>
      </c>
      <c r="H96" s="178">
        <f>MIN(G167-H65,H90*D96)</f>
        <v>0</v>
      </c>
      <c r="I96" s="178">
        <f>MIN(H167-I65,I90*D96)</f>
        <v>0</v>
      </c>
      <c r="J96" s="178">
        <f>MIN(I167-J65,J90*D96)</f>
        <v>0</v>
      </c>
      <c r="K96" s="178">
        <f>MIN(J167-K65,K90*D96)</f>
        <v>0</v>
      </c>
      <c r="L96" s="178">
        <f>MIN(K167-L65,L90*D96)</f>
        <v>0</v>
      </c>
      <c r="M96" s="178">
        <f>MIN(L167-M65,M90*D96)</f>
        <v>0</v>
      </c>
    </row>
    <row r="97" spans="2:13">
      <c r="B97" s="76" t="str">
        <f>F7</f>
        <v>Term Loan 1</v>
      </c>
      <c r="C97" s="76"/>
      <c r="D97" s="76"/>
      <c r="E97" s="76"/>
      <c r="F97" s="78">
        <f>MIN(E168-F66,F90*D96-F96)</f>
        <v>0</v>
      </c>
      <c r="G97" s="78">
        <f>MIN(F168-G66,G90*D96-G96)</f>
        <v>0</v>
      </c>
      <c r="H97" s="78">
        <f>MIN(G168-H66,H90*D96-H96)</f>
        <v>0</v>
      </c>
      <c r="I97" s="78">
        <f>MIN(H168-I66,I90*D96-I96)</f>
        <v>0</v>
      </c>
      <c r="J97" s="78">
        <f>MIN(I168-J66,J90*D96-J96)</f>
        <v>0</v>
      </c>
      <c r="K97" s="78">
        <f>MIN(J168-K66,K90*D96-K96)</f>
        <v>0</v>
      </c>
      <c r="L97" s="78">
        <f>MIN(K168-L66,L90*D96-L96)</f>
        <v>0</v>
      </c>
      <c r="M97" s="78">
        <f>MIN(L168-M66,M90*D96-M96)</f>
        <v>0</v>
      </c>
    </row>
    <row r="98" spans="2:13">
      <c r="B98" s="76" t="str">
        <f>F8</f>
        <v>Term Loan 2</v>
      </c>
      <c r="C98" s="76"/>
      <c r="D98" s="76"/>
      <c r="E98" s="76"/>
      <c r="F98" s="78">
        <f>MIN(E169-F67,F90*D96-F96-F97)</f>
        <v>0</v>
      </c>
      <c r="G98" s="78">
        <f>MIN(F169-G67,G90*D96-G96-G97)</f>
        <v>0</v>
      </c>
      <c r="H98" s="78">
        <f>MIN(G169-H67,H90*D96-H96-H97)</f>
        <v>0</v>
      </c>
      <c r="I98" s="78">
        <f>MIN(H169-I67,I90*D96-I96-I97)</f>
        <v>0</v>
      </c>
      <c r="J98" s="78">
        <f>MIN(I169-J67,J90*D96-J96-J97)</f>
        <v>0</v>
      </c>
      <c r="K98" s="78">
        <f>MIN(J169-K67,K90*D96-K96-K97)</f>
        <v>0</v>
      </c>
      <c r="L98" s="78">
        <f>MIN(K169-L67,L90*D96-L96-L97)</f>
        <v>0</v>
      </c>
      <c r="M98" s="78">
        <f>MIN(L169-M67,M90*D96-M96-M97)</f>
        <v>0</v>
      </c>
    </row>
    <row r="99" spans="2:13">
      <c r="B99" s="76" t="str">
        <f>F9</f>
        <v>Term Loan 3</v>
      </c>
      <c r="C99" s="76"/>
      <c r="D99" s="76"/>
      <c r="E99" s="76"/>
      <c r="F99" s="78">
        <f>MIN(E170-F68,F90*D96-F96-F97-F98)</f>
        <v>0</v>
      </c>
      <c r="G99" s="78">
        <f>MIN(F170-G68,G90*D96-G96-G97-G98)</f>
        <v>0</v>
      </c>
      <c r="H99" s="78">
        <f>MIN(G170-H68,H90*D96-H96-H97-H98)</f>
        <v>0</v>
      </c>
      <c r="I99" s="78">
        <f>MIN(H170-I68,I90*D96-I96-I97-I98)</f>
        <v>0</v>
      </c>
      <c r="J99" s="78">
        <f>MIN(I170-J68,J90*D96-J96-J97-J98)</f>
        <v>0</v>
      </c>
      <c r="K99" s="78">
        <f>MIN(J170-K68,K90*D96-K96-K97-K98)</f>
        <v>0</v>
      </c>
      <c r="L99" s="78">
        <f>MIN(K170-L68,L90*D96-L96-L97-L98)</f>
        <v>0</v>
      </c>
      <c r="M99" s="78">
        <f>MIN(L170-M68,M90*D96-M96-M97-M98)</f>
        <v>0</v>
      </c>
    </row>
    <row r="100" spans="2:13">
      <c r="B100" s="77" t="s">
        <v>93</v>
      </c>
      <c r="C100" s="76"/>
      <c r="D100" s="76"/>
      <c r="E100" s="76"/>
      <c r="F100" s="181">
        <f t="shared" ref="F100:M100" si="25">SUM(F96:F99)</f>
        <v>0</v>
      </c>
      <c r="G100" s="181">
        <f t="shared" si="25"/>
        <v>0</v>
      </c>
      <c r="H100" s="181">
        <f t="shared" si="25"/>
        <v>0</v>
      </c>
      <c r="I100" s="181">
        <f t="shared" si="25"/>
        <v>0</v>
      </c>
      <c r="J100" s="181">
        <f t="shared" si="25"/>
        <v>0</v>
      </c>
      <c r="K100" s="181">
        <f t="shared" si="25"/>
        <v>0</v>
      </c>
      <c r="L100" s="181">
        <f t="shared" si="25"/>
        <v>0</v>
      </c>
      <c r="M100" s="181">
        <f t="shared" si="25"/>
        <v>0</v>
      </c>
    </row>
    <row r="101" spans="2:13">
      <c r="B101" s="76"/>
      <c r="C101" s="76"/>
      <c r="D101" s="76"/>
      <c r="E101" s="76"/>
      <c r="F101" s="76"/>
      <c r="G101" s="76"/>
      <c r="H101" s="76"/>
      <c r="I101" s="76"/>
      <c r="J101" s="76"/>
      <c r="K101" s="76"/>
      <c r="L101" s="76"/>
      <c r="M101" s="76"/>
    </row>
    <row r="102" spans="2:13">
      <c r="B102" s="73" t="s">
        <v>94</v>
      </c>
      <c r="C102" s="74"/>
      <c r="D102" s="74"/>
      <c r="E102" s="74"/>
      <c r="F102" s="74"/>
      <c r="G102" s="74"/>
      <c r="H102" s="74"/>
      <c r="I102" s="74"/>
      <c r="J102" s="74"/>
      <c r="K102" s="74"/>
      <c r="L102" s="74"/>
      <c r="M102" s="74"/>
    </row>
    <row r="103" spans="2:13" ht="3" customHeight="1">
      <c r="B103" s="76"/>
      <c r="C103" s="76"/>
      <c r="D103" s="76"/>
      <c r="E103" s="76"/>
      <c r="F103" s="76"/>
      <c r="G103" s="76"/>
      <c r="H103" s="76"/>
      <c r="I103" s="76"/>
      <c r="J103" s="76"/>
      <c r="K103" s="76"/>
      <c r="L103" s="76"/>
      <c r="M103" s="76"/>
    </row>
    <row r="104" spans="2:13">
      <c r="B104" s="76"/>
      <c r="C104" s="79" t="s">
        <v>95</v>
      </c>
      <c r="D104" s="182" t="s">
        <v>96</v>
      </c>
      <c r="E104" s="76"/>
      <c r="F104" s="176">
        <f t="shared" ref="F104:M104" si="26">F26</f>
        <v>2018</v>
      </c>
      <c r="G104" s="176">
        <f t="shared" si="26"/>
        <v>2019</v>
      </c>
      <c r="H104" s="176">
        <f t="shared" si="26"/>
        <v>2020</v>
      </c>
      <c r="I104" s="176">
        <f t="shared" si="26"/>
        <v>2021</v>
      </c>
      <c r="J104" s="176">
        <f t="shared" si="26"/>
        <v>2022</v>
      </c>
      <c r="K104" s="176">
        <f t="shared" si="26"/>
        <v>2023</v>
      </c>
      <c r="L104" s="176">
        <f t="shared" si="26"/>
        <v>2024</v>
      </c>
      <c r="M104" s="176">
        <f t="shared" si="26"/>
        <v>2025</v>
      </c>
    </row>
    <row r="105" spans="2:13" ht="3" customHeight="1">
      <c r="B105" s="76"/>
      <c r="C105" s="76"/>
      <c r="D105" s="76"/>
      <c r="E105" s="76"/>
      <c r="F105" s="76"/>
      <c r="G105" s="76"/>
      <c r="H105" s="76"/>
      <c r="I105" s="76"/>
      <c r="J105" s="76"/>
      <c r="K105" s="76"/>
      <c r="L105" s="76"/>
      <c r="M105" s="76"/>
    </row>
    <row r="106" spans="2:13">
      <c r="B106" s="76" t="s">
        <v>97</v>
      </c>
      <c r="C106" s="76" t="s">
        <v>32</v>
      </c>
      <c r="D106" s="76" t="s">
        <v>32</v>
      </c>
      <c r="E106" s="76"/>
      <c r="F106" s="183">
        <f>CF!F75</f>
        <v>2.5999999999999999E-3</v>
      </c>
      <c r="G106" s="183">
        <f>CF!G75</f>
        <v>4.4999999999999997E-3</v>
      </c>
      <c r="H106" s="183">
        <f>CF!H75</f>
        <v>8.2000000000000007E-3</v>
      </c>
      <c r="I106" s="183">
        <f>CF!I75</f>
        <v>1.2500000000000001E-2</v>
      </c>
      <c r="J106" s="183">
        <f>CF!J75</f>
        <v>1.6400000000000001E-2</v>
      </c>
      <c r="K106" s="183">
        <f>CF!K75</f>
        <v>1.7999999999999999E-2</v>
      </c>
      <c r="L106" s="183">
        <f>CF!L75</f>
        <v>0.02</v>
      </c>
      <c r="M106" s="183">
        <f>CF!M75</f>
        <v>2.4899999999999999E-2</v>
      </c>
    </row>
    <row r="107" spans="2:13">
      <c r="B107" s="76" t="s">
        <v>98</v>
      </c>
      <c r="C107" s="184">
        <v>0</v>
      </c>
      <c r="D107" s="185">
        <v>0.01</v>
      </c>
      <c r="E107" s="76"/>
      <c r="F107" s="178">
        <f>IF(D126=1,-1*AVERAGE(F145,E145)*(F106*C107+D107),0)</f>
        <v>0</v>
      </c>
      <c r="G107" s="178">
        <f>IF(D126=1,-1*AVERAGE(G145,F145)*(G106*C107+D107),0)</f>
        <v>0</v>
      </c>
      <c r="H107" s="178">
        <f>IF(D126=1,-1*AVERAGE(H145,G145)*(H106*C107+D107),0)</f>
        <v>0</v>
      </c>
      <c r="I107" s="178">
        <f>IF(D126=1,-1*AVERAGE(I145,H145)*(I106*C107+D107),0)</f>
        <v>0</v>
      </c>
      <c r="J107" s="178">
        <f>IF(D126=1,-1*AVERAGE(J145,I145)*(J106*C107+D107),0)</f>
        <v>0</v>
      </c>
      <c r="K107" s="178">
        <f>IF(D126=1,-1*AVERAGE(K145,J145)*(K106*C107+D107),0)</f>
        <v>0</v>
      </c>
      <c r="L107" s="178">
        <f>IF(D126=1,-1*AVERAGE(L145,K145)*(L106*C107+D107),0)</f>
        <v>0</v>
      </c>
      <c r="M107" s="178">
        <f>IF(D126=1,-1*AVERAGE(M145,L145)*(M106*C107+D107),0)</f>
        <v>0</v>
      </c>
    </row>
    <row r="108" spans="2:13">
      <c r="B108" s="76" t="str">
        <f>F6</f>
        <v>Revolver</v>
      </c>
      <c r="C108" s="186">
        <v>1</v>
      </c>
      <c r="D108" s="187">
        <v>0.01</v>
      </c>
      <c r="E108" s="76"/>
      <c r="F108" s="78">
        <f>IF(D126=1,AVERAGE(F167,E167)*(F106*C108+D108),0)</f>
        <v>0</v>
      </c>
      <c r="G108" s="78">
        <f>IF(D126=1,AVERAGE(G167,F167)*(G106*C108+D108),0)</f>
        <v>0</v>
      </c>
      <c r="H108" s="78">
        <f>IF(D126=1,AVERAGE(H167,G167)*(H106*C108+D108),0)</f>
        <v>0</v>
      </c>
      <c r="I108" s="78">
        <f>IF(D126=1,AVERAGE(I167,H167)*(I106*C108+D108),0)</f>
        <v>0</v>
      </c>
      <c r="J108" s="78">
        <f>IF(D126=1,AVERAGE(J167,I167)*(J106*C108+D108),0)</f>
        <v>0</v>
      </c>
      <c r="K108" s="78">
        <f>IF(D126=1,AVERAGE(K167,J167)*(K106*C108+D108),0)</f>
        <v>0</v>
      </c>
      <c r="L108" s="78">
        <f>IF(D126=1,AVERAGE(L167,K167)*(L106*C108+D108),0)</f>
        <v>0</v>
      </c>
      <c r="M108" s="78">
        <f>IF(D126=1,AVERAGE(M167,L167)*(M106*C108+D108),0)</f>
        <v>0</v>
      </c>
    </row>
    <row r="109" spans="2:13">
      <c r="B109" s="76" t="s">
        <v>208</v>
      </c>
      <c r="C109" s="186">
        <v>0</v>
      </c>
      <c r="D109" s="187">
        <v>2.5000000000000001E-3</v>
      </c>
      <c r="E109" s="76"/>
      <c r="F109" s="78">
        <f>IF(D126=1,(D127-F167)*(F106*C109+D109),0)</f>
        <v>0</v>
      </c>
      <c r="G109" s="78">
        <f>IF(D126=1,(D127-G167)*(G106*C109+D109),0)</f>
        <v>0</v>
      </c>
      <c r="H109" s="78">
        <f>IF(D126=1,(D127-H167)*(H106*C109+D109),0)</f>
        <v>0</v>
      </c>
      <c r="I109" s="78">
        <f>IF(D126=1,(D127-I167)*(I106*C109+D109),0)</f>
        <v>0</v>
      </c>
      <c r="J109" s="78">
        <f>IF(D126=1,(D127-J167)*(J106*C109+D109),0)</f>
        <v>0</v>
      </c>
      <c r="K109" s="78">
        <f>IF(D126=1,(D127-K167)*(K106*C109+D109),0)</f>
        <v>0</v>
      </c>
      <c r="L109" s="78">
        <f>IF(D126=1,(D127-L167)*(L106*C109+D109),0)</f>
        <v>0</v>
      </c>
      <c r="M109" s="78">
        <f>IF(D126=1,(D127-M167)*(M106*C109+D109),0)</f>
        <v>0</v>
      </c>
    </row>
    <row r="110" spans="2:13">
      <c r="B110" s="76" t="str">
        <f t="shared" ref="B110:B116" si="27">F7</f>
        <v>Term Loan 1</v>
      </c>
      <c r="C110" s="186">
        <v>1</v>
      </c>
      <c r="D110" s="187">
        <v>0.01</v>
      </c>
      <c r="E110" s="76"/>
      <c r="F110" s="78">
        <f>IF(D126=1,AVERAGE(F168,E168)*(F106*C110+D110),0)</f>
        <v>0</v>
      </c>
      <c r="G110" s="78">
        <f>IF(D126=1,AVERAGE(G168,F168)*(G106*C110+D110),0)</f>
        <v>0</v>
      </c>
      <c r="H110" s="78">
        <f>IF(D126=1,AVERAGE(H168,G168)*(H106*C110+D110),0)</f>
        <v>0</v>
      </c>
      <c r="I110" s="78">
        <f>IF(D126=1,AVERAGE(I168,H168)*(I106*C110+D110),0)</f>
        <v>0</v>
      </c>
      <c r="J110" s="78">
        <f>IF(D126=1,AVERAGE(J168,I168)*(J106*C110+D110),0)</f>
        <v>0</v>
      </c>
      <c r="K110" s="78">
        <f>IF(D126=1,AVERAGE(K168,J168)*(K106*C110+D110),0)</f>
        <v>0</v>
      </c>
      <c r="L110" s="78">
        <f>IF(D126=1,AVERAGE(L168,K168)*(L106*C110+D110),0)</f>
        <v>0</v>
      </c>
      <c r="M110" s="78">
        <f>IF(D126=1,AVERAGE(M168,L168)*(M106*C110+D110),0)</f>
        <v>0</v>
      </c>
    </row>
    <row r="111" spans="2:13">
      <c r="B111" s="76" t="str">
        <f t="shared" si="27"/>
        <v>Term Loan 2</v>
      </c>
      <c r="C111" s="186">
        <v>1</v>
      </c>
      <c r="D111" s="187">
        <v>0.01</v>
      </c>
      <c r="E111" s="76"/>
      <c r="F111" s="78">
        <f>IF(D126=1,AVERAGE(F169,E169)*(F106*C111+D111),0)</f>
        <v>0</v>
      </c>
      <c r="G111" s="78">
        <f>IF(D126=1,AVERAGE(G169,F169)*(G106*C111+D111),0)</f>
        <v>0</v>
      </c>
      <c r="H111" s="78">
        <f>IF(D126=1,AVERAGE(H169,G169)*(H106*C111+D111),0)</f>
        <v>0</v>
      </c>
      <c r="I111" s="78">
        <f>IF(D126=1,AVERAGE(I169,H169)*(I106*C111+D111),0)</f>
        <v>0</v>
      </c>
      <c r="J111" s="78">
        <f>IF(D126=1,AVERAGE(J169,I169)*(J106*C111+D111),0)</f>
        <v>0</v>
      </c>
      <c r="K111" s="78">
        <f>IF(D126=1,AVERAGE(K169,J169)*(K106*C111+D111),0)</f>
        <v>0</v>
      </c>
      <c r="L111" s="78">
        <f>IF(D126=1,AVERAGE(L169,K169)*(L106*C111+D111),0)</f>
        <v>0</v>
      </c>
      <c r="M111" s="78">
        <f>IF(D126=1,AVERAGE(M169,L169)*(M106*C111+D111),0)</f>
        <v>0</v>
      </c>
    </row>
    <row r="112" spans="2:13">
      <c r="B112" s="76" t="str">
        <f t="shared" si="27"/>
        <v>Term Loan 3</v>
      </c>
      <c r="C112" s="186">
        <v>1</v>
      </c>
      <c r="D112" s="187">
        <v>0.01</v>
      </c>
      <c r="E112" s="76"/>
      <c r="F112" s="78">
        <f>IF(D126=1,AVERAGE(F170,E170)*(F106*C112+D112),0)</f>
        <v>0</v>
      </c>
      <c r="G112" s="78">
        <f>IF(D126=1,AVERAGE(G170,F170)*(G106*C112+D112),0)</f>
        <v>0</v>
      </c>
      <c r="H112" s="78">
        <f>IF(D126=1,AVERAGE(H170,G170)*(H106*C112+D112),0)</f>
        <v>0</v>
      </c>
      <c r="I112" s="78">
        <f>IF(D126=1,AVERAGE(I170,H170)*(I106*C112+D112),0)</f>
        <v>0</v>
      </c>
      <c r="J112" s="78">
        <f>IF(D126=1,AVERAGE(J170,I170)*(J106*C112+D112),0)</f>
        <v>0</v>
      </c>
      <c r="K112" s="78">
        <f>IF(D126=1,AVERAGE(K170,J170)*(K106*C112+D112),0)</f>
        <v>0</v>
      </c>
      <c r="L112" s="78">
        <f>IF(D126=1,AVERAGE(L170,K170)*(L106*C112+D112),0)</f>
        <v>0</v>
      </c>
      <c r="M112" s="78">
        <f>IF(D126=1,AVERAGE(M170,L170)*(M106*C112+D112),0)</f>
        <v>0</v>
      </c>
    </row>
    <row r="113" spans="2:13">
      <c r="B113" s="76" t="str">
        <f t="shared" si="27"/>
        <v>Secured Note 1</v>
      </c>
      <c r="C113" s="186">
        <v>1</v>
      </c>
      <c r="D113" s="187">
        <v>0.01</v>
      </c>
      <c r="E113" s="76"/>
      <c r="F113" s="78">
        <f>IF(D126=1,AVERAGE(F171,E171)*(F106*C113+D113),0)</f>
        <v>0</v>
      </c>
      <c r="G113" s="78">
        <f>IF(D126=1,AVERAGE(G171,F171)*(G106*C113+D113),0)</f>
        <v>0</v>
      </c>
      <c r="H113" s="78">
        <f>IF(D126=1,AVERAGE(H171,G171)*(H106*C113+D113),0)</f>
        <v>0</v>
      </c>
      <c r="I113" s="78">
        <f>IF(D126=1,AVERAGE(I171,H171)*(I106*C113+D113),0)</f>
        <v>0</v>
      </c>
      <c r="J113" s="78">
        <f>IF(D126=1,AVERAGE(J171,I171)*(J106*C113+D113),0)</f>
        <v>0</v>
      </c>
      <c r="K113" s="78">
        <f>IF(D126=1,AVERAGE(K171,J171)*(K106*C113+D113),0)</f>
        <v>0</v>
      </c>
      <c r="L113" s="78">
        <f>IF(D126=1,AVERAGE(L171,K171)*(L106*C113+D113),0)</f>
        <v>0</v>
      </c>
      <c r="M113" s="78">
        <f>IF(D126=1,AVERAGE(M171,L171)*(M106*C113+D113),0)</f>
        <v>0</v>
      </c>
    </row>
    <row r="114" spans="2:13">
      <c r="B114" s="76" t="str">
        <f t="shared" si="27"/>
        <v>Secured Note 2</v>
      </c>
      <c r="C114" s="186">
        <v>1</v>
      </c>
      <c r="D114" s="187">
        <v>0.01</v>
      </c>
      <c r="E114" s="76"/>
      <c r="F114" s="78">
        <f>IF(D126=1,AVERAGE(F172,E172)*(F106*C114+D114),0)</f>
        <v>0</v>
      </c>
      <c r="G114" s="78">
        <f>IF(D126=1,AVERAGE(G172,F172)*(G106*C114+D114),0)</f>
        <v>0</v>
      </c>
      <c r="H114" s="78">
        <f>IF(D126=1,AVERAGE(H172,G172)*(H106*C114+D114),0)</f>
        <v>0</v>
      </c>
      <c r="I114" s="78">
        <f>IF(D126=1,AVERAGE(I172,H172)*(I106*C114+D114),0)</f>
        <v>0</v>
      </c>
      <c r="J114" s="78">
        <f>IF(D126=1,AVERAGE(J172,I172)*(J106*C114+D114),0)</f>
        <v>0</v>
      </c>
      <c r="K114" s="78">
        <f>IF(D126=1,AVERAGE(K172,J172)*(K106*C114+D114),0)</f>
        <v>0</v>
      </c>
      <c r="L114" s="78">
        <f>IF(D126=1,AVERAGE(L172,K172)*(L106*C114+D114),0)</f>
        <v>0</v>
      </c>
      <c r="M114" s="78">
        <f>IF(D126=1,AVERAGE(M172,L172)*(M106*C114+D114),0)</f>
        <v>0</v>
      </c>
    </row>
    <row r="115" spans="2:13">
      <c r="B115" s="76" t="str">
        <f t="shared" si="27"/>
        <v>Unsecured Note 1</v>
      </c>
      <c r="C115" s="186">
        <v>1</v>
      </c>
      <c r="D115" s="187">
        <v>0.01</v>
      </c>
      <c r="E115" s="76"/>
      <c r="F115" s="78">
        <f>IF(D126=1,AVERAGE(F173,E173)*(F106*C115+D115),0)</f>
        <v>0</v>
      </c>
      <c r="G115" s="78">
        <f>IF(D126=1,AVERAGE(G173,F173)*(G106*C115+D115),0)</f>
        <v>0</v>
      </c>
      <c r="H115" s="78">
        <f>IF(D126=1,AVERAGE(H173,G173)*(H106*C115+D115),0)</f>
        <v>0</v>
      </c>
      <c r="I115" s="78">
        <f>IF(D126=1,AVERAGE(I173,H173)*(I106*C115+D115),0)</f>
        <v>0</v>
      </c>
      <c r="J115" s="78">
        <f>IF(D126=1,AVERAGE(J173,I173)*(J106*C115+D115),0)</f>
        <v>0</v>
      </c>
      <c r="K115" s="78">
        <f>IF(D126=1,AVERAGE(K173,J173)*(K106*C115+D115),0)</f>
        <v>0</v>
      </c>
      <c r="L115" s="78">
        <f>IF(D126=1,AVERAGE(L173,K173)*(L106*C115+D115),0)</f>
        <v>0</v>
      </c>
      <c r="M115" s="78">
        <f>IF(D126=1,AVERAGE(M173,L173)*(M106*C115+D115),0)</f>
        <v>0</v>
      </c>
    </row>
    <row r="116" spans="2:13">
      <c r="B116" s="76" t="str">
        <f t="shared" si="27"/>
        <v>Unsecured Note 2</v>
      </c>
      <c r="C116" s="186">
        <v>1</v>
      </c>
      <c r="D116" s="187">
        <v>0.01</v>
      </c>
      <c r="E116" s="76"/>
      <c r="F116" s="78">
        <f>IF(D126=1,AVERAGE(F174,E174)*(F106*C116+D116),0)</f>
        <v>0</v>
      </c>
      <c r="G116" s="78">
        <f>IF(D126=1,AVERAGE(G174,F174)*(G106*C116+D116),0)</f>
        <v>0</v>
      </c>
      <c r="H116" s="78">
        <f>IF(D126=1,AVERAGE(H174,G174)*(H106*C116+D116),0)</f>
        <v>0</v>
      </c>
      <c r="I116" s="78">
        <f>IF(D126=1,AVERAGE(I174,H174)*(I106*C116+D116),0)</f>
        <v>0</v>
      </c>
      <c r="J116" s="78">
        <f>IF(D126=1,AVERAGE(J174,I174)*(J106*C116+D116),0)</f>
        <v>0</v>
      </c>
      <c r="K116" s="78">
        <f>IF(D126=1,AVERAGE(K174,J174)*(K106*C116+D116),0)</f>
        <v>0</v>
      </c>
      <c r="L116" s="78">
        <f>IF(D126=1,AVERAGE(L174,K174)*(L106*C116+D116),0)</f>
        <v>0</v>
      </c>
      <c r="M116" s="78">
        <f>IF(D126=1,AVERAGE(M174,L174)*(M106*C116+D116),0)</f>
        <v>0</v>
      </c>
    </row>
    <row r="117" spans="2:13">
      <c r="B117" s="76" t="str">
        <f>BS!C35</f>
        <v>Debt 1</v>
      </c>
      <c r="C117" s="186">
        <v>1</v>
      </c>
      <c r="D117" s="187">
        <v>0.01</v>
      </c>
      <c r="E117" s="76"/>
      <c r="F117" s="78">
        <f>IF(D126=1,AVERAGE(F175,E175)*(F106*C117+D117),0)</f>
        <v>0</v>
      </c>
      <c r="G117" s="78">
        <f>IF(D126=1,AVERAGE(G175,F175)*(G106*C117+D117),0)</f>
        <v>0</v>
      </c>
      <c r="H117" s="78">
        <f>IF(D126=1,AVERAGE(H175,G175)*(H106*C117+D117),0)</f>
        <v>0</v>
      </c>
      <c r="I117" s="78">
        <f>IF(D126=1,AVERAGE(I175,H175)*(I106*C117+D117),0)</f>
        <v>0</v>
      </c>
      <c r="J117" s="78">
        <f>IF(D126=1,AVERAGE(J175,I175)*(J106*C117+D117),0)</f>
        <v>0</v>
      </c>
      <c r="K117" s="78">
        <f>IF(D126=1,AVERAGE(K175,J175)*(K106*C117+D117),0)</f>
        <v>0</v>
      </c>
      <c r="L117" s="78">
        <f>IF(D126=1,AVERAGE(L175,K175)*(L106*C117+D117),0)</f>
        <v>0</v>
      </c>
      <c r="M117" s="78">
        <f>IF(D126=1,AVERAGE(M175,L175)*(M106*C117+D117),0)</f>
        <v>0</v>
      </c>
    </row>
    <row r="118" spans="2:13">
      <c r="B118" s="76" t="str">
        <f>BS!C36</f>
        <v>Debt 2</v>
      </c>
      <c r="C118" s="186">
        <v>1</v>
      </c>
      <c r="D118" s="187">
        <v>0.01</v>
      </c>
      <c r="E118" s="76"/>
      <c r="F118" s="78">
        <f>IF(D126=1,AVERAGE(F176,E176)*(F106*C118+D118),0)</f>
        <v>0</v>
      </c>
      <c r="G118" s="78">
        <f>IF(D126=1,AVERAGE(G176,F176)*(G106*C118+D118),0)</f>
        <v>0</v>
      </c>
      <c r="H118" s="78">
        <f>IF(D126=1,AVERAGE(H176,G176)*(H106*C118+D118),0)</f>
        <v>0</v>
      </c>
      <c r="I118" s="78">
        <f>IF(D126=1,AVERAGE(I176,H176)*(I106*C118+D118),0)</f>
        <v>0</v>
      </c>
      <c r="J118" s="78">
        <f>IF(D126=1,AVERAGE(J176,I176)*(J106*C118+D118),0)</f>
        <v>0</v>
      </c>
      <c r="K118" s="78">
        <f>IF(D126=1,AVERAGE(K176,J176)*(K106*C118+D118),0)</f>
        <v>0</v>
      </c>
      <c r="L118" s="78">
        <f>IF(D126=1,AVERAGE(L176,K176)*(L106*C118+D118),0)</f>
        <v>0</v>
      </c>
      <c r="M118" s="78">
        <f>IF(D126=1,AVERAGE(M176,L176)*(M106*C118+D118),0)</f>
        <v>0</v>
      </c>
    </row>
    <row r="119" spans="2:13">
      <c r="B119" s="76" t="str">
        <f>BS!C37</f>
        <v>Debt 3</v>
      </c>
      <c r="C119" s="186">
        <v>1</v>
      </c>
      <c r="D119" s="187">
        <v>0.01</v>
      </c>
      <c r="E119" s="76"/>
      <c r="F119" s="78">
        <f>IF(D126=1,AVERAGE(F177,E177)*(F106*C119+D119),0)</f>
        <v>0</v>
      </c>
      <c r="G119" s="78">
        <f>IF(D126=1,AVERAGE(G177,F177)*(G106*C119+D119),0)</f>
        <v>0</v>
      </c>
      <c r="H119" s="78">
        <f>IF(D126=1,AVERAGE(H177,G177)*(H106*C119+D119),0)</f>
        <v>0</v>
      </c>
      <c r="I119" s="78">
        <f>IF(D126=1,AVERAGE(I177,H177)*(I106*C119+D119),0)</f>
        <v>0</v>
      </c>
      <c r="J119" s="78">
        <f>IF(D126=1,AVERAGE(J177,I177)*(J106*C119+D119),0)</f>
        <v>0</v>
      </c>
      <c r="K119" s="78">
        <f>IF(D126=1,AVERAGE(K177,J177)*(K106*C119+D119),0)</f>
        <v>0</v>
      </c>
      <c r="L119" s="78">
        <f>IF(D126=1,AVERAGE(L177,K177)*(L106*C119+D119),0)</f>
        <v>0</v>
      </c>
      <c r="M119" s="78">
        <f>IF(D126=1,AVERAGE(M177,L177)*(M106*C119+D119),0)</f>
        <v>0</v>
      </c>
    </row>
    <row r="120" spans="2:13">
      <c r="B120" s="76" t="str">
        <f>BS!C38</f>
        <v>Debt 4</v>
      </c>
      <c r="C120" s="186">
        <v>1</v>
      </c>
      <c r="D120" s="187">
        <v>0.01</v>
      </c>
      <c r="E120" s="76"/>
      <c r="F120" s="78">
        <f>IF(D126=1,AVERAGE(F178,E178)*(F106*C120+D120),0)</f>
        <v>0</v>
      </c>
      <c r="G120" s="78">
        <f>IF(D126=1,AVERAGE(G178,F178)*(G106*C120+D120),0)</f>
        <v>0</v>
      </c>
      <c r="H120" s="78">
        <f>IF(D126=1,AVERAGE(H178,G178)*(H106*C120+D120),0)</f>
        <v>0</v>
      </c>
      <c r="I120" s="78">
        <f>IF(D126=1,AVERAGE(I178,H178)*(I106*C120+D120),0)</f>
        <v>0</v>
      </c>
      <c r="J120" s="78">
        <f>IF(D126=1,AVERAGE(J178,I178)*(J106*C120+D120),0)</f>
        <v>0</v>
      </c>
      <c r="K120" s="78">
        <f>IF(D126=1,AVERAGE(K178,J178)*(K106*C120+D120),0)</f>
        <v>0</v>
      </c>
      <c r="L120" s="78">
        <f>IF(D126=1,AVERAGE(L178,K178)*(L106*C120+D120),0)</f>
        <v>0</v>
      </c>
      <c r="M120" s="78">
        <f>IF(D126=1,AVERAGE(M178,L178)*(M106*C120+D120),0)</f>
        <v>0</v>
      </c>
    </row>
    <row r="121" spans="2:13">
      <c r="B121" s="76" t="str">
        <f>BS!C39</f>
        <v>Debt 5</v>
      </c>
      <c r="C121" s="186">
        <v>1</v>
      </c>
      <c r="D121" s="187">
        <v>0.01</v>
      </c>
      <c r="E121" s="76"/>
      <c r="F121" s="78">
        <f>IF(D126=1,AVERAGE(F179,E179)*(F106*C121+D121),0)</f>
        <v>0</v>
      </c>
      <c r="G121" s="78">
        <f>IF(D126=1,AVERAGE(G179,F179)*(G106*C121+D121),0)</f>
        <v>0</v>
      </c>
      <c r="H121" s="78">
        <f>IF(D126=1,AVERAGE(H179,G179)*(H106*C121+D121),0)</f>
        <v>0</v>
      </c>
      <c r="I121" s="78">
        <f>IF(D126=1,AVERAGE(I179,H179)*(I106*C121+D121),0)</f>
        <v>0</v>
      </c>
      <c r="J121" s="78">
        <f>IF(D126=1,AVERAGE(J179,I179)*(J106*C121+D121),0)</f>
        <v>0</v>
      </c>
      <c r="K121" s="78">
        <f>IF(D126=1,AVERAGE(K179,J179)*(K106*C121+D121),0)</f>
        <v>0</v>
      </c>
      <c r="L121" s="78">
        <f>IF(D126=1,AVERAGE(L179,K179)*(L106*C121+D121),0)</f>
        <v>0</v>
      </c>
      <c r="M121" s="78">
        <f>IF(D126=1,AVERAGE(M179,L179)*(M106*C121+D121),0)</f>
        <v>0</v>
      </c>
    </row>
    <row r="122" spans="2:13">
      <c r="B122" s="76" t="str">
        <f>BS!C40</f>
        <v>Debt 6</v>
      </c>
      <c r="C122" s="186">
        <v>1</v>
      </c>
      <c r="D122" s="187">
        <v>0.01</v>
      </c>
      <c r="E122" s="76"/>
      <c r="F122" s="78">
        <f>IF(D126=1,AVERAGE(F180,E180)*(F106*C122+D122),0)</f>
        <v>0</v>
      </c>
      <c r="G122" s="78">
        <f>IF(D126=1,AVERAGE(G180,F180)*(G106*C122+D122),0)</f>
        <v>0</v>
      </c>
      <c r="H122" s="78">
        <f>IF(D126=1,AVERAGE(H180,G180)*(H106*C122+D122),0)</f>
        <v>0</v>
      </c>
      <c r="I122" s="78">
        <f>IF(D126=1,AVERAGE(I180,H180)*(I106*C122+D122),0)</f>
        <v>0</v>
      </c>
      <c r="J122" s="78">
        <f>IF(D126=1,AVERAGE(J180,I180)*(J106*C122+D122),0)</f>
        <v>0</v>
      </c>
      <c r="K122" s="78">
        <f>IF(D126=1,AVERAGE(K180,J180)*(K106*C122+D122),0)</f>
        <v>0</v>
      </c>
      <c r="L122" s="78">
        <f>IF(D126=1,AVERAGE(L180,K180)*(L106*C122+D122),0)</f>
        <v>0</v>
      </c>
      <c r="M122" s="78">
        <f>IF(D126=1,AVERAGE(M180,L180)*(M106*C122+D122),0)</f>
        <v>0</v>
      </c>
    </row>
    <row r="123" spans="2:13">
      <c r="B123" s="76" t="str">
        <f>BS!C41</f>
        <v>Debt 7</v>
      </c>
      <c r="C123" s="186">
        <v>1</v>
      </c>
      <c r="D123" s="187">
        <v>0.01</v>
      </c>
      <c r="E123" s="76"/>
      <c r="F123" s="78">
        <f>IF(D126=1,AVERAGE(F181,E181)*(F106*C123+D123),0)</f>
        <v>0</v>
      </c>
      <c r="G123" s="78">
        <f>IF(D126=1,AVERAGE(G181,F181)*(G106*C123+D123),0)</f>
        <v>0</v>
      </c>
      <c r="H123" s="78">
        <f>IF(D126=1,AVERAGE(H181,G181)*(H106*C123+D123),0)</f>
        <v>0</v>
      </c>
      <c r="I123" s="78">
        <f>IF(D126=1,AVERAGE(I181,H181)*(I106*C123+D123),0)</f>
        <v>0</v>
      </c>
      <c r="J123" s="78">
        <f>IF(D126=1,AVERAGE(J181,I181)*(J106*C123+D123),0)</f>
        <v>0</v>
      </c>
      <c r="K123" s="78">
        <f>IF(D126=1,AVERAGE(K181,J181)*(K106*C123+D123),0)</f>
        <v>0</v>
      </c>
      <c r="L123" s="78">
        <f>IF(D126=1,AVERAGE(L181,K181)*(L106*C123+D123),0)</f>
        <v>0</v>
      </c>
      <c r="M123" s="78">
        <f>IF(D126=1,AVERAGE(M181,L181)*(M106*C123+D123),0)</f>
        <v>0</v>
      </c>
    </row>
    <row r="124" spans="2:13">
      <c r="B124" s="76" t="str">
        <f>BS!C42</f>
        <v>Debt 8</v>
      </c>
      <c r="C124" s="186">
        <v>1</v>
      </c>
      <c r="D124" s="187">
        <v>0.01</v>
      </c>
      <c r="E124" s="76"/>
      <c r="F124" s="78">
        <f>IF(D126=1,AVERAGE(F182,E182)*(F106*C124+D124),0)</f>
        <v>0</v>
      </c>
      <c r="G124" s="78">
        <f>IF(D126=1,AVERAGE(G182,F182)*(G106*C124+D124),0)</f>
        <v>0</v>
      </c>
      <c r="H124" s="78">
        <f>IF(D126=1,AVERAGE(H182,G182)*(H106*C124+D124),0)</f>
        <v>0</v>
      </c>
      <c r="I124" s="78">
        <f>IF(D126=1,AVERAGE(I182,H182)*(I106*C124+D124),0)</f>
        <v>0</v>
      </c>
      <c r="J124" s="78">
        <f>IF(D126=1,AVERAGE(J182,I182)*(J106*C124+D124),0)</f>
        <v>0</v>
      </c>
      <c r="K124" s="78">
        <f>IF(D126=1,AVERAGE(K182,J182)*(K106*C124+D124),0)</f>
        <v>0</v>
      </c>
      <c r="L124" s="78">
        <f>IF(D126=1,AVERAGE(L182,K182)*(L106*C124+D124),0)</f>
        <v>0</v>
      </c>
      <c r="M124" s="78">
        <f>IF(D126=1,AVERAGE(M182,L182)*(M106*C124+D124),0)</f>
        <v>0</v>
      </c>
    </row>
    <row r="125" spans="2:13">
      <c r="B125" s="76" t="str">
        <f>BS!C43</f>
        <v>Debt 9</v>
      </c>
      <c r="C125" s="186">
        <v>1</v>
      </c>
      <c r="D125" s="187">
        <v>0.01</v>
      </c>
      <c r="E125" s="76"/>
      <c r="F125" s="78">
        <f>IF(D126=1,AVERAGE(F183,E183)*(F106*C125+D125),0)</f>
        <v>0</v>
      </c>
      <c r="G125" s="78">
        <f>IF(D126=1,AVERAGE(G183,F183)*(G106*C125+D125),0)</f>
        <v>0</v>
      </c>
      <c r="H125" s="78">
        <f>IF(D126=1,AVERAGE(H183,G183)*(H106*C125+D125),0)</f>
        <v>0</v>
      </c>
      <c r="I125" s="78">
        <f>IF(D126=1,AVERAGE(I183,H183)*(I106*C125+D125),0)</f>
        <v>0</v>
      </c>
      <c r="J125" s="78">
        <f>IF(D126=1,AVERAGE(J183,I183)*(J106*C125+D125),0)</f>
        <v>0</v>
      </c>
      <c r="K125" s="78">
        <f>IF(D126=1,AVERAGE(K183,J183)*(K106*C125+D125),0)</f>
        <v>0</v>
      </c>
      <c r="L125" s="78">
        <f>IF(D126=1,AVERAGE(L183,K183)*(L106*C125+D125),0)</f>
        <v>0</v>
      </c>
      <c r="M125" s="78">
        <f>IF(D126=1,AVERAGE(M183,L183)*(M106*C125+D125),0)</f>
        <v>0</v>
      </c>
    </row>
    <row r="126" spans="2:13">
      <c r="B126" s="76" t="s">
        <v>99</v>
      </c>
      <c r="C126" s="76" t="s">
        <v>100</v>
      </c>
      <c r="D126" s="188">
        <v>0</v>
      </c>
      <c r="E126" s="76"/>
      <c r="F126" s="177">
        <f t="shared" ref="F126:M126" si="28">SUM(F107:F125)</f>
        <v>0</v>
      </c>
      <c r="G126" s="177">
        <f t="shared" si="28"/>
        <v>0</v>
      </c>
      <c r="H126" s="177">
        <f t="shared" si="28"/>
        <v>0</v>
      </c>
      <c r="I126" s="177">
        <f t="shared" si="28"/>
        <v>0</v>
      </c>
      <c r="J126" s="177">
        <f t="shared" si="28"/>
        <v>0</v>
      </c>
      <c r="K126" s="177">
        <f t="shared" si="28"/>
        <v>0</v>
      </c>
      <c r="L126" s="177">
        <f t="shared" si="28"/>
        <v>0</v>
      </c>
      <c r="M126" s="177">
        <f t="shared" si="28"/>
        <v>0</v>
      </c>
    </row>
    <row r="127" spans="2:13">
      <c r="B127" s="76"/>
      <c r="C127" s="76" t="s">
        <v>209</v>
      </c>
      <c r="D127" s="179">
        <v>500</v>
      </c>
      <c r="E127" s="76"/>
      <c r="F127" s="76"/>
      <c r="G127" s="76"/>
      <c r="H127" s="76"/>
      <c r="I127" s="76"/>
      <c r="J127" s="76"/>
      <c r="K127" s="76"/>
      <c r="L127" s="76"/>
      <c r="M127" s="76"/>
    </row>
    <row r="128" spans="2:13">
      <c r="B128" s="76"/>
      <c r="C128" s="76"/>
      <c r="D128" s="76"/>
      <c r="E128" s="76"/>
      <c r="F128" s="76"/>
      <c r="G128" s="76"/>
      <c r="H128" s="76"/>
      <c r="I128" s="76"/>
      <c r="J128" s="76"/>
      <c r="K128" s="76"/>
      <c r="L128" s="76"/>
      <c r="M128" s="76"/>
    </row>
    <row r="129" spans="2:13">
      <c r="B129" s="73" t="s">
        <v>101</v>
      </c>
      <c r="C129" s="74"/>
      <c r="D129" s="74"/>
      <c r="E129" s="74"/>
      <c r="F129" s="74"/>
      <c r="G129" s="74"/>
      <c r="H129" s="74"/>
      <c r="I129" s="74"/>
      <c r="J129" s="74"/>
      <c r="K129" s="74"/>
      <c r="L129" s="74"/>
      <c r="M129" s="74"/>
    </row>
    <row r="130" spans="2:13" ht="3" customHeight="1">
      <c r="B130" s="76"/>
      <c r="C130" s="76"/>
      <c r="D130" s="76"/>
      <c r="E130" s="76"/>
      <c r="F130" s="76"/>
      <c r="G130" s="76"/>
      <c r="H130" s="76"/>
      <c r="I130" s="76"/>
      <c r="J130" s="76"/>
      <c r="K130" s="76"/>
      <c r="L130" s="76"/>
      <c r="M130" s="76"/>
    </row>
    <row r="131" spans="2:13">
      <c r="B131" s="76"/>
      <c r="C131" s="76"/>
      <c r="D131" s="76"/>
      <c r="E131" s="76"/>
      <c r="F131" s="176">
        <f t="shared" ref="F131:M131" si="29">F26</f>
        <v>2018</v>
      </c>
      <c r="G131" s="176">
        <f t="shared" si="29"/>
        <v>2019</v>
      </c>
      <c r="H131" s="176">
        <f t="shared" si="29"/>
        <v>2020</v>
      </c>
      <c r="I131" s="176">
        <f t="shared" si="29"/>
        <v>2021</v>
      </c>
      <c r="J131" s="176">
        <f t="shared" si="29"/>
        <v>2022</v>
      </c>
      <c r="K131" s="176">
        <f t="shared" si="29"/>
        <v>2023</v>
      </c>
      <c r="L131" s="176">
        <f t="shared" si="29"/>
        <v>2024</v>
      </c>
      <c r="M131" s="176">
        <f t="shared" si="29"/>
        <v>2025</v>
      </c>
    </row>
    <row r="132" spans="2:13" ht="3" customHeight="1">
      <c r="B132" s="76"/>
      <c r="C132" s="76"/>
      <c r="D132" s="76"/>
      <c r="E132" s="76"/>
      <c r="F132" s="76"/>
      <c r="G132" s="76"/>
      <c r="H132" s="76"/>
      <c r="I132" s="76"/>
      <c r="J132" s="76"/>
      <c r="K132" s="76"/>
      <c r="L132" s="76"/>
      <c r="M132" s="76"/>
    </row>
    <row r="133" spans="2:13">
      <c r="B133" s="76" t="s">
        <v>15</v>
      </c>
      <c r="C133" s="76"/>
      <c r="D133" s="76"/>
      <c r="E133" s="76"/>
      <c r="F133" s="123">
        <f>IS!H23</f>
        <v>65211.443644238752</v>
      </c>
      <c r="G133" s="123">
        <f>IS!I23</f>
        <v>69322.710976879986</v>
      </c>
      <c r="H133" s="123">
        <f>IS!J23</f>
        <v>73693.173906733515</v>
      </c>
      <c r="I133" s="123">
        <f>IS!K23</f>
        <v>78339.173467397573</v>
      </c>
      <c r="J133" s="123">
        <f>IS!L23</f>
        <v>83278.080915907689</v>
      </c>
      <c r="K133" s="123">
        <f>IS!M23</f>
        <v>88528.362683360494</v>
      </c>
      <c r="L133" s="123">
        <f>IS!N23</f>
        <v>94109.649420362082</v>
      </c>
      <c r="M133" s="123">
        <f>IS!O23</f>
        <v>100042.80939545855</v>
      </c>
    </row>
    <row r="134" spans="2:13">
      <c r="B134" s="76" t="s">
        <v>210</v>
      </c>
      <c r="C134" s="76"/>
      <c r="D134" s="76"/>
      <c r="E134" s="76"/>
      <c r="F134" s="78">
        <f t="shared" ref="F134:M134" si="30">F126</f>
        <v>0</v>
      </c>
      <c r="G134" s="78">
        <f t="shared" si="30"/>
        <v>0</v>
      </c>
      <c r="H134" s="78">
        <f t="shared" si="30"/>
        <v>0</v>
      </c>
      <c r="I134" s="78">
        <f t="shared" si="30"/>
        <v>0</v>
      </c>
      <c r="J134" s="78">
        <f t="shared" si="30"/>
        <v>0</v>
      </c>
      <c r="K134" s="78">
        <f t="shared" si="30"/>
        <v>0</v>
      </c>
      <c r="L134" s="78">
        <f t="shared" si="30"/>
        <v>0</v>
      </c>
      <c r="M134" s="78">
        <f t="shared" si="30"/>
        <v>0</v>
      </c>
    </row>
    <row r="135" spans="2:13">
      <c r="B135" s="76" t="s">
        <v>211</v>
      </c>
      <c r="C135" s="76"/>
      <c r="D135" s="76"/>
      <c r="E135" s="76"/>
      <c r="F135" s="76">
        <f>M7/8</f>
        <v>12.5</v>
      </c>
      <c r="G135" s="76">
        <f>M7/8</f>
        <v>12.5</v>
      </c>
      <c r="H135" s="76">
        <f>M7/8</f>
        <v>12.5</v>
      </c>
      <c r="I135" s="76">
        <f>M7/8</f>
        <v>12.5</v>
      </c>
      <c r="J135" s="76">
        <f>M7/8</f>
        <v>12.5</v>
      </c>
      <c r="K135" s="76">
        <f>M7/8</f>
        <v>12.5</v>
      </c>
      <c r="L135" s="76">
        <f>M7/8</f>
        <v>12.5</v>
      </c>
      <c r="M135" s="76">
        <f>M7/8</f>
        <v>12.5</v>
      </c>
    </row>
    <row r="136" spans="2:13">
      <c r="B136" s="76" t="s">
        <v>76</v>
      </c>
      <c r="C136" s="76"/>
      <c r="D136" s="76"/>
      <c r="E136" s="76"/>
      <c r="F136" s="124">
        <f>IS!H33</f>
        <v>-2918.0590245734766</v>
      </c>
      <c r="G136" s="124">
        <f>IS!I33</f>
        <v>-3102.0285868468891</v>
      </c>
      <c r="H136" s="124">
        <f>IS!J33</f>
        <v>-3297.596543655181</v>
      </c>
      <c r="I136" s="124">
        <f>IS!K33</f>
        <v>-3505.4941178926433</v>
      </c>
      <c r="J136" s="124">
        <f>IS!L33</f>
        <v>-3726.4986325340133</v>
      </c>
      <c r="K136" s="124">
        <f>IS!M33</f>
        <v>-3961.4364170224394</v>
      </c>
      <c r="L136" s="124">
        <f>IS!N33</f>
        <v>-4211.185896891202</v>
      </c>
      <c r="M136" s="124">
        <f>IS!O33</f>
        <v>-4476.6808781711925</v>
      </c>
    </row>
    <row r="137" spans="2:13">
      <c r="B137" s="76" t="s">
        <v>23</v>
      </c>
      <c r="C137" s="76"/>
      <c r="D137" s="76"/>
      <c r="E137" s="76"/>
      <c r="F137" s="177">
        <f t="shared" ref="F137:M137" si="31">F133-F134-F136-F135</f>
        <v>68117.002668812231</v>
      </c>
      <c r="G137" s="177">
        <f t="shared" si="31"/>
        <v>72412.239563726878</v>
      </c>
      <c r="H137" s="177">
        <f t="shared" si="31"/>
        <v>76978.270450388693</v>
      </c>
      <c r="I137" s="177">
        <f t="shared" si="31"/>
        <v>81832.167585290212</v>
      </c>
      <c r="J137" s="177">
        <f t="shared" si="31"/>
        <v>86992.079548441703</v>
      </c>
      <c r="K137" s="177">
        <f t="shared" si="31"/>
        <v>92477.299100382937</v>
      </c>
      <c r="L137" s="177">
        <f t="shared" si="31"/>
        <v>98308.335317253281</v>
      </c>
      <c r="M137" s="177">
        <f t="shared" si="31"/>
        <v>104506.99027362974</v>
      </c>
    </row>
    <row r="138" spans="2:13">
      <c r="B138" s="76" t="s">
        <v>79</v>
      </c>
      <c r="C138" s="189">
        <v>0.35</v>
      </c>
      <c r="D138" s="76"/>
      <c r="E138" s="76"/>
      <c r="F138" s="78">
        <f>C138*F137</f>
        <v>23840.950934084278</v>
      </c>
      <c r="G138" s="78">
        <f>C138*G137</f>
        <v>25344.283847304407</v>
      </c>
      <c r="H138" s="78">
        <f>C138*H137</f>
        <v>26942.394657636039</v>
      </c>
      <c r="I138" s="78">
        <f>C138*I137</f>
        <v>28641.258654851572</v>
      </c>
      <c r="J138" s="78">
        <f>C138*J137</f>
        <v>30447.227841954595</v>
      </c>
      <c r="K138" s="78">
        <f>C138*K137</f>
        <v>32367.054685134026</v>
      </c>
      <c r="L138" s="78">
        <f>C138*L137</f>
        <v>34407.91736103865</v>
      </c>
      <c r="M138" s="78">
        <f>C138*M137</f>
        <v>36577.446595770409</v>
      </c>
    </row>
    <row r="139" spans="2:13">
      <c r="B139" s="76" t="s">
        <v>27</v>
      </c>
      <c r="C139" s="76"/>
      <c r="D139" s="76"/>
      <c r="E139" s="76"/>
      <c r="F139" s="177">
        <f t="shared" ref="F139:M139" si="32">F137-F138</f>
        <v>44276.051734727953</v>
      </c>
      <c r="G139" s="177">
        <f t="shared" si="32"/>
        <v>47067.955716422468</v>
      </c>
      <c r="H139" s="177">
        <f t="shared" si="32"/>
        <v>50035.875792752653</v>
      </c>
      <c r="I139" s="177">
        <f t="shared" si="32"/>
        <v>53190.908930438643</v>
      </c>
      <c r="J139" s="177">
        <f t="shared" si="32"/>
        <v>56544.851706487112</v>
      </c>
      <c r="K139" s="177">
        <f t="shared" si="32"/>
        <v>60110.244415248912</v>
      </c>
      <c r="L139" s="177">
        <f t="shared" si="32"/>
        <v>63900.417956214631</v>
      </c>
      <c r="M139" s="177">
        <f t="shared" si="32"/>
        <v>67929.543677859328</v>
      </c>
    </row>
    <row r="140" spans="2:13">
      <c r="B140" s="76"/>
      <c r="C140" s="76"/>
      <c r="D140" s="76"/>
      <c r="E140" s="76"/>
      <c r="F140" s="76"/>
      <c r="G140" s="76"/>
      <c r="H140" s="76"/>
      <c r="I140" s="76"/>
      <c r="J140" s="76"/>
      <c r="K140" s="76"/>
      <c r="L140" s="76"/>
      <c r="M140" s="76"/>
    </row>
    <row r="141" spans="2:13">
      <c r="B141" s="73" t="s">
        <v>103</v>
      </c>
      <c r="C141" s="74"/>
      <c r="D141" s="74"/>
      <c r="E141" s="74"/>
      <c r="F141" s="74"/>
      <c r="G141" s="74"/>
      <c r="H141" s="74"/>
      <c r="I141" s="74"/>
      <c r="J141" s="74"/>
      <c r="K141" s="74"/>
      <c r="L141" s="74"/>
      <c r="M141" s="74"/>
    </row>
    <row r="142" spans="2:13" ht="3" customHeight="1">
      <c r="B142" s="76"/>
      <c r="C142" s="76"/>
      <c r="D142" s="76"/>
      <c r="E142" s="76"/>
      <c r="F142" s="76"/>
      <c r="G142" s="76"/>
      <c r="H142" s="76"/>
      <c r="I142" s="76"/>
      <c r="J142" s="76"/>
      <c r="K142" s="76"/>
      <c r="L142" s="76"/>
      <c r="M142" s="76"/>
    </row>
    <row r="143" spans="2:13">
      <c r="B143" s="76"/>
      <c r="C143" s="79" t="s">
        <v>104</v>
      </c>
      <c r="D143" s="80" t="s">
        <v>105</v>
      </c>
      <c r="E143" s="79" t="s">
        <v>106</v>
      </c>
      <c r="F143" s="176">
        <f t="shared" ref="F143:M143" si="33">F26</f>
        <v>2018</v>
      </c>
      <c r="G143" s="176">
        <f t="shared" si="33"/>
        <v>2019</v>
      </c>
      <c r="H143" s="176">
        <f t="shared" si="33"/>
        <v>2020</v>
      </c>
      <c r="I143" s="176">
        <f t="shared" si="33"/>
        <v>2021</v>
      </c>
      <c r="J143" s="176">
        <f t="shared" si="33"/>
        <v>2022</v>
      </c>
      <c r="K143" s="176">
        <f t="shared" si="33"/>
        <v>2023</v>
      </c>
      <c r="L143" s="176">
        <f t="shared" si="33"/>
        <v>2024</v>
      </c>
      <c r="M143" s="176">
        <f t="shared" si="33"/>
        <v>2025</v>
      </c>
    </row>
    <row r="144" spans="2:13" ht="3" customHeight="1">
      <c r="B144" s="76"/>
      <c r="C144" s="76"/>
      <c r="D144" s="76"/>
      <c r="E144" s="76"/>
      <c r="F144" s="76"/>
      <c r="G144" s="76"/>
      <c r="H144" s="76"/>
      <c r="I144" s="76"/>
      <c r="J144" s="76"/>
      <c r="K144" s="76"/>
      <c r="L144" s="76"/>
      <c r="M144" s="76"/>
    </row>
    <row r="145" spans="2:14">
      <c r="B145" s="76" t="s">
        <v>30</v>
      </c>
      <c r="C145" s="123">
        <f>BS!E10</f>
        <v>268895</v>
      </c>
      <c r="D145" s="178">
        <f>-I5</f>
        <v>0</v>
      </c>
      <c r="E145" s="178">
        <f>C145+D145</f>
        <v>268895</v>
      </c>
      <c r="F145" s="178">
        <f t="shared" ref="F145:M145" si="34">E145+F88-F100</f>
        <v>312136.74908307404</v>
      </c>
      <c r="G145" s="178">
        <f t="shared" si="34"/>
        <v>358104.4062841573</v>
      </c>
      <c r="H145" s="178">
        <f t="shared" si="34"/>
        <v>406969.82697664853</v>
      </c>
      <c r="I145" s="178">
        <f t="shared" si="34"/>
        <v>458915.70118723903</v>
      </c>
      <c r="J145" s="178">
        <f t="shared" si="34"/>
        <v>514136.23666860146</v>
      </c>
      <c r="K145" s="178">
        <f t="shared" si="34"/>
        <v>572837.88503652019</v>
      </c>
      <c r="L145" s="178">
        <f t="shared" si="34"/>
        <v>635240.11368646985</v>
      </c>
      <c r="M145" s="178">
        <f t="shared" si="34"/>
        <v>701576.22637581429</v>
      </c>
    </row>
    <row r="146" spans="2:14">
      <c r="B146" s="76"/>
      <c r="C146" s="76"/>
      <c r="D146" s="76"/>
      <c r="E146" s="76"/>
      <c r="F146" s="76"/>
      <c r="G146" s="76"/>
      <c r="H146" s="76"/>
      <c r="I146" s="76"/>
      <c r="J146" s="76"/>
      <c r="K146" s="76"/>
      <c r="L146" s="76"/>
      <c r="M146" s="76"/>
    </row>
    <row r="147" spans="2:14">
      <c r="B147" s="76" t="s">
        <v>35</v>
      </c>
      <c r="C147" s="123">
        <f>WC!E15</f>
        <v>54464</v>
      </c>
      <c r="D147" s="165">
        <v>0</v>
      </c>
      <c r="E147" s="178">
        <f>C147+D147</f>
        <v>54464</v>
      </c>
      <c r="F147" s="123">
        <f>WC!F15</f>
        <v>57897.692792120157</v>
      </c>
      <c r="G147" s="123">
        <f>WC!G15</f>
        <v>61547.863371230953</v>
      </c>
      <c r="H147" s="123">
        <f>WC!H15</f>
        <v>65428.159618810852</v>
      </c>
      <c r="I147" s="123">
        <f>WC!I15</f>
        <v>69553.089849509997</v>
      </c>
      <c r="J147" s="123">
        <f>WC!J15</f>
        <v>73938.077057316026</v>
      </c>
      <c r="K147" s="123">
        <f>WC!K15</f>
        <v>78599.516581679462</v>
      </c>
      <c r="L147" s="123">
        <f>WC!L15</f>
        <v>83554.837409210362</v>
      </c>
      <c r="M147" s="123">
        <f>WC!M15</f>
        <v>88822.567340151494</v>
      </c>
    </row>
    <row r="148" spans="2:14">
      <c r="B148" s="76"/>
      <c r="C148" s="76"/>
      <c r="D148" s="76"/>
      <c r="E148" s="76"/>
      <c r="F148" s="76"/>
      <c r="G148" s="76"/>
      <c r="H148" s="76"/>
      <c r="I148" s="76"/>
      <c r="J148" s="76"/>
      <c r="K148" s="76"/>
      <c r="L148" s="76"/>
      <c r="M148" s="76"/>
    </row>
    <row r="149" spans="2:14">
      <c r="B149" s="76" t="s">
        <v>41</v>
      </c>
      <c r="C149" s="76"/>
      <c r="D149" s="76"/>
      <c r="E149" s="76"/>
      <c r="F149" s="76"/>
      <c r="G149" s="76"/>
      <c r="H149" s="76"/>
      <c r="I149" s="76"/>
      <c r="J149" s="76"/>
      <c r="K149" s="76"/>
      <c r="L149" s="76"/>
      <c r="M149" s="76"/>
    </row>
    <row r="150" spans="2:14">
      <c r="B150" s="77" t="str">
        <f>BS!C20</f>
        <v>PP&amp;E, net</v>
      </c>
      <c r="C150" s="123">
        <f>BS!E20</f>
        <v>33783</v>
      </c>
      <c r="D150" s="165">
        <v>0</v>
      </c>
      <c r="E150" s="178">
        <f t="shared" ref="E150:E155" si="35">C150+D150</f>
        <v>33783</v>
      </c>
      <c r="F150" s="178">
        <f t="shared" ref="F150:M150" si="36">E150-F37-F30</f>
        <v>36587.313190100125</v>
      </c>
      <c r="G150" s="178">
        <f t="shared" si="36"/>
        <v>39568.424815638224</v>
      </c>
      <c r="H150" s="178">
        <f t="shared" si="36"/>
        <v>42737.481166152742</v>
      </c>
      <c r="I150" s="178">
        <f t="shared" si="36"/>
        <v>46106.33125103463</v>
      </c>
      <c r="J150" s="178">
        <f t="shared" si="36"/>
        <v>49687.571102628339</v>
      </c>
      <c r="K150" s="178">
        <f t="shared" si="36"/>
        <v>53494.590872429864</v>
      </c>
      <c r="L150" s="178">
        <f t="shared" si="36"/>
        <v>57541.624896473208</v>
      </c>
      <c r="M150" s="178">
        <f t="shared" si="36"/>
        <v>61843.804917098198</v>
      </c>
    </row>
    <row r="151" spans="2:14">
      <c r="B151" s="77" t="str">
        <f>BS!C21</f>
        <v>Goodwill</v>
      </c>
      <c r="C151" s="124">
        <f>BS!E21</f>
        <v>5717</v>
      </c>
      <c r="D151" s="78">
        <f>M5+M6-C186</f>
        <v>376673</v>
      </c>
      <c r="E151" s="78">
        <f t="shared" si="35"/>
        <v>382390</v>
      </c>
      <c r="F151" s="78">
        <f t="shared" ref="F151:M153" si="37">E151</f>
        <v>382390</v>
      </c>
      <c r="G151" s="78">
        <f t="shared" si="37"/>
        <v>382390</v>
      </c>
      <c r="H151" s="78">
        <f t="shared" si="37"/>
        <v>382390</v>
      </c>
      <c r="I151" s="78">
        <f t="shared" si="37"/>
        <v>382390</v>
      </c>
      <c r="J151" s="78">
        <f t="shared" si="37"/>
        <v>382390</v>
      </c>
      <c r="K151" s="78">
        <f t="shared" si="37"/>
        <v>382390</v>
      </c>
      <c r="L151" s="78">
        <f t="shared" si="37"/>
        <v>382390</v>
      </c>
      <c r="M151" s="78">
        <f t="shared" si="37"/>
        <v>382390</v>
      </c>
    </row>
    <row r="152" spans="2:14">
      <c r="B152" s="77" t="str">
        <f>BS!C22</f>
        <v>Long Term Investments</v>
      </c>
      <c r="C152" s="124">
        <f>BS!E22</f>
        <v>0</v>
      </c>
      <c r="D152" s="167">
        <v>0</v>
      </c>
      <c r="E152" s="78">
        <f t="shared" si="35"/>
        <v>0</v>
      </c>
      <c r="F152" s="78">
        <f t="shared" si="37"/>
        <v>0</v>
      </c>
      <c r="G152" s="78">
        <f t="shared" si="37"/>
        <v>0</v>
      </c>
      <c r="H152" s="78">
        <f t="shared" si="37"/>
        <v>0</v>
      </c>
      <c r="I152" s="78">
        <f t="shared" si="37"/>
        <v>0</v>
      </c>
      <c r="J152" s="78">
        <f t="shared" si="37"/>
        <v>0</v>
      </c>
      <c r="K152" s="78">
        <f t="shared" si="37"/>
        <v>0</v>
      </c>
      <c r="L152" s="78">
        <f t="shared" si="37"/>
        <v>0</v>
      </c>
      <c r="M152" s="78">
        <f t="shared" si="37"/>
        <v>0</v>
      </c>
    </row>
    <row r="153" spans="2:14">
      <c r="B153" s="77" t="str">
        <f>BS!C23</f>
        <v>Intangible Assets</v>
      </c>
      <c r="C153" s="124">
        <f>BS!E23</f>
        <v>2298</v>
      </c>
      <c r="D153" s="167">
        <v>0</v>
      </c>
      <c r="E153" s="78">
        <f t="shared" si="35"/>
        <v>2298</v>
      </c>
      <c r="F153" s="78">
        <f t="shared" si="37"/>
        <v>2298</v>
      </c>
      <c r="G153" s="78">
        <f t="shared" si="37"/>
        <v>2298</v>
      </c>
      <c r="H153" s="78">
        <f t="shared" si="37"/>
        <v>2298</v>
      </c>
      <c r="I153" s="78">
        <f t="shared" si="37"/>
        <v>2298</v>
      </c>
      <c r="J153" s="78">
        <f t="shared" si="37"/>
        <v>2298</v>
      </c>
      <c r="K153" s="78">
        <f t="shared" si="37"/>
        <v>2298</v>
      </c>
      <c r="L153" s="78">
        <f t="shared" si="37"/>
        <v>2298</v>
      </c>
      <c r="M153" s="78">
        <f t="shared" si="37"/>
        <v>2298</v>
      </c>
    </row>
    <row r="154" spans="2:14" s="76" customFormat="1">
      <c r="B154" s="77" t="str">
        <f>BS!C24</f>
        <v>Other Assets</v>
      </c>
      <c r="C154" s="124">
        <f>BS!E24</f>
        <v>10162</v>
      </c>
      <c r="D154" s="167">
        <v>0</v>
      </c>
      <c r="E154" s="78">
        <f>C154+D154</f>
        <v>10162</v>
      </c>
      <c r="F154" s="78">
        <f t="shared" ref="F154:M154" si="38">E154</f>
        <v>10162</v>
      </c>
      <c r="G154" s="78">
        <f t="shared" si="38"/>
        <v>10162</v>
      </c>
      <c r="H154" s="78">
        <f t="shared" si="38"/>
        <v>10162</v>
      </c>
      <c r="I154" s="78">
        <f t="shared" si="38"/>
        <v>10162</v>
      </c>
      <c r="J154" s="78">
        <f t="shared" si="38"/>
        <v>10162</v>
      </c>
      <c r="K154" s="78">
        <f t="shared" si="38"/>
        <v>10162</v>
      </c>
      <c r="L154" s="78">
        <f t="shared" si="38"/>
        <v>10162</v>
      </c>
      <c r="M154" s="78">
        <f t="shared" si="38"/>
        <v>10162</v>
      </c>
      <c r="N154" s="37"/>
    </row>
    <row r="155" spans="2:14">
      <c r="B155" s="77" t="s">
        <v>212</v>
      </c>
      <c r="C155" s="167">
        <v>0</v>
      </c>
      <c r="D155" s="78">
        <f>M7</f>
        <v>100</v>
      </c>
      <c r="E155" s="78">
        <f t="shared" si="35"/>
        <v>100</v>
      </c>
      <c r="F155" s="78">
        <f t="shared" ref="F155:M155" si="39">E155-F135</f>
        <v>87.5</v>
      </c>
      <c r="G155" s="78">
        <f t="shared" si="39"/>
        <v>75</v>
      </c>
      <c r="H155" s="78">
        <f t="shared" si="39"/>
        <v>62.5</v>
      </c>
      <c r="I155" s="78">
        <f t="shared" si="39"/>
        <v>50</v>
      </c>
      <c r="J155" s="78">
        <f t="shared" si="39"/>
        <v>37.5</v>
      </c>
      <c r="K155" s="78">
        <f t="shared" si="39"/>
        <v>25</v>
      </c>
      <c r="L155" s="78">
        <f t="shared" si="39"/>
        <v>12.5</v>
      </c>
      <c r="M155" s="78">
        <f t="shared" si="39"/>
        <v>0</v>
      </c>
    </row>
    <row r="156" spans="2:14">
      <c r="B156" s="76" t="s">
        <v>48</v>
      </c>
      <c r="C156" s="177">
        <f>C145+C147+SUM(C150:C155)</f>
        <v>375319</v>
      </c>
      <c r="D156" s="76"/>
      <c r="E156" s="177">
        <f t="shared" ref="E156:M156" si="40">E145+E147+SUM(E150:E155)</f>
        <v>752092</v>
      </c>
      <c r="F156" s="177">
        <f t="shared" si="40"/>
        <v>801559.25506529433</v>
      </c>
      <c r="G156" s="177">
        <f t="shared" si="40"/>
        <v>854145.69447102654</v>
      </c>
      <c r="H156" s="177">
        <f t="shared" si="40"/>
        <v>910047.96776161215</v>
      </c>
      <c r="I156" s="177">
        <f t="shared" si="40"/>
        <v>969475.12228778366</v>
      </c>
      <c r="J156" s="177">
        <f t="shared" si="40"/>
        <v>1032649.3848285459</v>
      </c>
      <c r="K156" s="177">
        <f t="shared" si="40"/>
        <v>1099806.9924906297</v>
      </c>
      <c r="L156" s="177">
        <f t="shared" si="40"/>
        <v>1171199.0759921535</v>
      </c>
      <c r="M156" s="177">
        <f t="shared" si="40"/>
        <v>1247092.598633064</v>
      </c>
    </row>
    <row r="157" spans="2:14">
      <c r="B157" s="76"/>
      <c r="C157" s="76"/>
      <c r="D157" s="76"/>
      <c r="E157" s="76"/>
      <c r="F157" s="76"/>
      <c r="G157" s="76"/>
      <c r="H157" s="76"/>
      <c r="I157" s="76"/>
      <c r="J157" s="76"/>
      <c r="K157" s="76"/>
      <c r="L157" s="76"/>
      <c r="M157" s="76"/>
    </row>
    <row r="158" spans="2:14">
      <c r="B158" s="76" t="s">
        <v>107</v>
      </c>
      <c r="C158" s="123">
        <f>WC!E20</f>
        <v>82341</v>
      </c>
      <c r="D158" s="165">
        <v>0</v>
      </c>
      <c r="E158" s="178">
        <f>C158+D158</f>
        <v>82341</v>
      </c>
      <c r="F158" s="123">
        <f>WC!F20</f>
        <v>87532.20333056635</v>
      </c>
      <c r="G158" s="123">
        <f>WC!G20</f>
        <v>93050.68701987603</v>
      </c>
      <c r="H158" s="123">
        <f>WC!H20</f>
        <v>98917.084517709038</v>
      </c>
      <c r="I158" s="123">
        <f>WC!I20</f>
        <v>105153.33011344195</v>
      </c>
      <c r="J158" s="123">
        <f>WC!J20</f>
        <v>111782.74094771701</v>
      </c>
      <c r="K158" s="123">
        <f>WC!K20</f>
        <v>118830.10419455179</v>
      </c>
      <c r="L158" s="123">
        <f>WC!L20</f>
        <v>126321.76973986102</v>
      </c>
      <c r="M158" s="123">
        <f>WC!M20</f>
        <v>134285.74870291224</v>
      </c>
    </row>
    <row r="159" spans="2:14">
      <c r="B159" s="76"/>
      <c r="C159" s="76"/>
      <c r="D159" s="76"/>
      <c r="E159" s="76"/>
      <c r="F159" s="76"/>
      <c r="G159" s="76"/>
      <c r="H159" s="76"/>
      <c r="I159" s="76"/>
      <c r="J159" s="76"/>
      <c r="K159" s="76"/>
      <c r="L159" s="76"/>
      <c r="M159" s="76"/>
    </row>
    <row r="160" spans="2:14">
      <c r="B160" s="76" t="s">
        <v>108</v>
      </c>
      <c r="C160" s="76"/>
      <c r="D160" s="76"/>
      <c r="E160" s="76"/>
      <c r="F160" s="76"/>
      <c r="G160" s="76"/>
      <c r="H160" s="76"/>
      <c r="I160" s="76"/>
      <c r="J160" s="76"/>
      <c r="K160" s="76"/>
      <c r="L160" s="76"/>
      <c r="M160" s="76"/>
    </row>
    <row r="161" spans="2:13">
      <c r="B161" s="77" t="str">
        <f>BS!C47</f>
        <v>Other Liabilities</v>
      </c>
      <c r="C161" s="123">
        <f>BS!E47</f>
        <v>40415</v>
      </c>
      <c r="D161" s="165">
        <v>0</v>
      </c>
      <c r="E161" s="178">
        <f>C161+D161</f>
        <v>40415</v>
      </c>
      <c r="F161" s="178">
        <f t="shared" ref="F161:M163" si="41">E161</f>
        <v>40415</v>
      </c>
      <c r="G161" s="178">
        <f t="shared" si="41"/>
        <v>40415</v>
      </c>
      <c r="H161" s="178">
        <f t="shared" si="41"/>
        <v>40415</v>
      </c>
      <c r="I161" s="178">
        <f t="shared" si="41"/>
        <v>40415</v>
      </c>
      <c r="J161" s="178">
        <f t="shared" si="41"/>
        <v>40415</v>
      </c>
      <c r="K161" s="178">
        <f t="shared" si="41"/>
        <v>40415</v>
      </c>
      <c r="L161" s="178">
        <f t="shared" si="41"/>
        <v>40415</v>
      </c>
      <c r="M161" s="178">
        <f t="shared" si="41"/>
        <v>40415</v>
      </c>
    </row>
    <row r="162" spans="2:13">
      <c r="B162" s="77" t="str">
        <f>BS!C48</f>
        <v>Deferred Long Term Liability Charges</v>
      </c>
      <c r="C162" s="124">
        <f>BS!E48</f>
        <v>2836</v>
      </c>
      <c r="D162" s="167">
        <v>0</v>
      </c>
      <c r="E162" s="78">
        <f>C162+D162</f>
        <v>2836</v>
      </c>
      <c r="F162" s="78">
        <f t="shared" si="41"/>
        <v>2836</v>
      </c>
      <c r="G162" s="78">
        <f t="shared" si="41"/>
        <v>2836</v>
      </c>
      <c r="H162" s="78">
        <f t="shared" si="41"/>
        <v>2836</v>
      </c>
      <c r="I162" s="78">
        <f t="shared" si="41"/>
        <v>2836</v>
      </c>
      <c r="J162" s="78">
        <f t="shared" si="41"/>
        <v>2836</v>
      </c>
      <c r="K162" s="78">
        <f t="shared" si="41"/>
        <v>2836</v>
      </c>
      <c r="L162" s="78">
        <f t="shared" si="41"/>
        <v>2836</v>
      </c>
      <c r="M162" s="78">
        <f t="shared" si="41"/>
        <v>2836</v>
      </c>
    </row>
    <row r="163" spans="2:13">
      <c r="B163" s="77" t="str">
        <f>BS!C49</f>
        <v>Minority Interest</v>
      </c>
      <c r="C163" s="124">
        <f>BS!E49</f>
        <v>0</v>
      </c>
      <c r="D163" s="78">
        <f>-M19</f>
        <v>0</v>
      </c>
      <c r="E163" s="78">
        <f>C163+D163</f>
        <v>0</v>
      </c>
      <c r="F163" s="78">
        <f t="shared" si="41"/>
        <v>0</v>
      </c>
      <c r="G163" s="78">
        <f t="shared" si="41"/>
        <v>0</v>
      </c>
      <c r="H163" s="78">
        <f t="shared" si="41"/>
        <v>0</v>
      </c>
      <c r="I163" s="78">
        <f t="shared" si="41"/>
        <v>0</v>
      </c>
      <c r="J163" s="78">
        <f t="shared" si="41"/>
        <v>0</v>
      </c>
      <c r="K163" s="78">
        <f t="shared" si="41"/>
        <v>0</v>
      </c>
      <c r="L163" s="78">
        <f t="shared" si="41"/>
        <v>0</v>
      </c>
      <c r="M163" s="78">
        <f t="shared" si="41"/>
        <v>0</v>
      </c>
    </row>
    <row r="164" spans="2:13">
      <c r="B164" s="76"/>
      <c r="C164" s="76"/>
      <c r="D164" s="76"/>
      <c r="E164" s="76"/>
      <c r="F164" s="76"/>
      <c r="G164" s="76"/>
      <c r="H164" s="76"/>
      <c r="I164" s="76"/>
      <c r="J164" s="76"/>
      <c r="K164" s="76"/>
      <c r="L164" s="76"/>
      <c r="M164" s="76"/>
    </row>
    <row r="165" spans="2:13">
      <c r="B165" s="76"/>
      <c r="C165" s="76"/>
      <c r="D165" s="76"/>
      <c r="E165" s="76"/>
      <c r="F165" s="76"/>
      <c r="G165" s="76"/>
      <c r="H165" s="76"/>
      <c r="I165" s="76"/>
      <c r="J165" s="76"/>
      <c r="K165" s="76"/>
      <c r="L165" s="76"/>
      <c r="M165" s="76"/>
    </row>
    <row r="166" spans="2:13">
      <c r="B166" s="76" t="s">
        <v>109</v>
      </c>
      <c r="C166" s="76"/>
      <c r="D166" s="76"/>
      <c r="E166" s="76"/>
      <c r="F166" s="76"/>
      <c r="G166" s="76"/>
      <c r="H166" s="76"/>
      <c r="I166" s="76"/>
      <c r="J166" s="76"/>
      <c r="K166" s="76"/>
      <c r="L166" s="76"/>
      <c r="M166" s="76"/>
    </row>
    <row r="167" spans="2:13">
      <c r="B167" s="77" t="str">
        <f t="shared" ref="B167:B174" si="42">F6</f>
        <v>Revolver</v>
      </c>
      <c r="C167" s="165">
        <v>0</v>
      </c>
      <c r="D167" s="178">
        <f t="shared" ref="D167:D174" si="43">I6</f>
        <v>0</v>
      </c>
      <c r="E167" s="178">
        <f t="shared" ref="E167:E183" si="44">C167+D167</f>
        <v>0</v>
      </c>
      <c r="F167" s="178">
        <f t="shared" ref="F167:M170" si="45">E167-F96-F65</f>
        <v>0</v>
      </c>
      <c r="G167" s="178">
        <f t="shared" si="45"/>
        <v>0</v>
      </c>
      <c r="H167" s="178">
        <f t="shared" si="45"/>
        <v>0</v>
      </c>
      <c r="I167" s="178">
        <f t="shared" si="45"/>
        <v>0</v>
      </c>
      <c r="J167" s="178">
        <f t="shared" si="45"/>
        <v>0</v>
      </c>
      <c r="K167" s="178">
        <f t="shared" si="45"/>
        <v>0</v>
      </c>
      <c r="L167" s="178">
        <f t="shared" si="45"/>
        <v>0</v>
      </c>
      <c r="M167" s="178">
        <f t="shared" si="45"/>
        <v>0</v>
      </c>
    </row>
    <row r="168" spans="2:13">
      <c r="B168" s="77" t="str">
        <f t="shared" si="42"/>
        <v>Term Loan 1</v>
      </c>
      <c r="C168" s="167">
        <v>0</v>
      </c>
      <c r="D168" s="78">
        <f t="shared" si="43"/>
        <v>0</v>
      </c>
      <c r="E168" s="78">
        <f t="shared" si="44"/>
        <v>0</v>
      </c>
      <c r="F168" s="78">
        <f t="shared" si="45"/>
        <v>0</v>
      </c>
      <c r="G168" s="78">
        <f t="shared" si="45"/>
        <v>0</v>
      </c>
      <c r="H168" s="78">
        <f t="shared" si="45"/>
        <v>0</v>
      </c>
      <c r="I168" s="78">
        <f t="shared" si="45"/>
        <v>0</v>
      </c>
      <c r="J168" s="78">
        <f t="shared" si="45"/>
        <v>0</v>
      </c>
      <c r="K168" s="78">
        <f t="shared" si="45"/>
        <v>0</v>
      </c>
      <c r="L168" s="78">
        <f t="shared" si="45"/>
        <v>0</v>
      </c>
      <c r="M168" s="78">
        <f t="shared" si="45"/>
        <v>0</v>
      </c>
    </row>
    <row r="169" spans="2:13">
      <c r="B169" s="77" t="str">
        <f t="shared" si="42"/>
        <v>Term Loan 2</v>
      </c>
      <c r="C169" s="167">
        <v>0</v>
      </c>
      <c r="D169" s="78">
        <f t="shared" si="43"/>
        <v>0</v>
      </c>
      <c r="E169" s="78">
        <f t="shared" si="44"/>
        <v>0</v>
      </c>
      <c r="F169" s="78">
        <f t="shared" si="45"/>
        <v>0</v>
      </c>
      <c r="G169" s="78">
        <f t="shared" si="45"/>
        <v>0</v>
      </c>
      <c r="H169" s="78">
        <f t="shared" si="45"/>
        <v>0</v>
      </c>
      <c r="I169" s="78">
        <f t="shared" si="45"/>
        <v>0</v>
      </c>
      <c r="J169" s="78">
        <f t="shared" si="45"/>
        <v>0</v>
      </c>
      <c r="K169" s="78">
        <f t="shared" si="45"/>
        <v>0</v>
      </c>
      <c r="L169" s="78">
        <f t="shared" si="45"/>
        <v>0</v>
      </c>
      <c r="M169" s="78">
        <f t="shared" si="45"/>
        <v>0</v>
      </c>
    </row>
    <row r="170" spans="2:13">
      <c r="B170" s="77" t="str">
        <f t="shared" si="42"/>
        <v>Term Loan 3</v>
      </c>
      <c r="C170" s="167">
        <v>0</v>
      </c>
      <c r="D170" s="78">
        <f t="shared" si="43"/>
        <v>0</v>
      </c>
      <c r="E170" s="78">
        <f t="shared" si="44"/>
        <v>0</v>
      </c>
      <c r="F170" s="78">
        <f t="shared" si="45"/>
        <v>0</v>
      </c>
      <c r="G170" s="78">
        <f t="shared" si="45"/>
        <v>0</v>
      </c>
      <c r="H170" s="78">
        <f t="shared" si="45"/>
        <v>0</v>
      </c>
      <c r="I170" s="78">
        <f t="shared" si="45"/>
        <v>0</v>
      </c>
      <c r="J170" s="78">
        <f t="shared" si="45"/>
        <v>0</v>
      </c>
      <c r="K170" s="78">
        <f t="shared" si="45"/>
        <v>0</v>
      </c>
      <c r="L170" s="78">
        <f t="shared" si="45"/>
        <v>0</v>
      </c>
      <c r="M170" s="78">
        <f t="shared" si="45"/>
        <v>0</v>
      </c>
    </row>
    <row r="171" spans="2:13">
      <c r="B171" s="77" t="str">
        <f t="shared" si="42"/>
        <v>Secured Note 1</v>
      </c>
      <c r="C171" s="167">
        <v>0</v>
      </c>
      <c r="D171" s="78">
        <f t="shared" si="43"/>
        <v>0</v>
      </c>
      <c r="E171" s="78">
        <f t="shared" si="44"/>
        <v>0</v>
      </c>
      <c r="F171" s="78">
        <f t="shared" ref="F171:M183" si="46">E171-F69</f>
        <v>0</v>
      </c>
      <c r="G171" s="78">
        <f t="shared" si="46"/>
        <v>0</v>
      </c>
      <c r="H171" s="78">
        <f t="shared" si="46"/>
        <v>0</v>
      </c>
      <c r="I171" s="78">
        <f t="shared" si="46"/>
        <v>0</v>
      </c>
      <c r="J171" s="78">
        <f t="shared" si="46"/>
        <v>0</v>
      </c>
      <c r="K171" s="78">
        <f t="shared" si="46"/>
        <v>0</v>
      </c>
      <c r="L171" s="78">
        <f t="shared" si="46"/>
        <v>0</v>
      </c>
      <c r="M171" s="78">
        <f t="shared" si="46"/>
        <v>0</v>
      </c>
    </row>
    <row r="172" spans="2:13">
      <c r="B172" s="77" t="str">
        <f t="shared" si="42"/>
        <v>Secured Note 2</v>
      </c>
      <c r="C172" s="167">
        <v>0</v>
      </c>
      <c r="D172" s="78">
        <f t="shared" si="43"/>
        <v>0</v>
      </c>
      <c r="E172" s="78">
        <f t="shared" si="44"/>
        <v>0</v>
      </c>
      <c r="F172" s="78">
        <f t="shared" si="46"/>
        <v>0</v>
      </c>
      <c r="G172" s="78">
        <f t="shared" si="46"/>
        <v>0</v>
      </c>
      <c r="H172" s="78">
        <f t="shared" si="46"/>
        <v>0</v>
      </c>
      <c r="I172" s="78">
        <f t="shared" si="46"/>
        <v>0</v>
      </c>
      <c r="J172" s="78">
        <f t="shared" si="46"/>
        <v>0</v>
      </c>
      <c r="K172" s="78">
        <f t="shared" si="46"/>
        <v>0</v>
      </c>
      <c r="L172" s="78">
        <f t="shared" si="46"/>
        <v>0</v>
      </c>
      <c r="M172" s="78">
        <f t="shared" si="46"/>
        <v>0</v>
      </c>
    </row>
    <row r="173" spans="2:13">
      <c r="B173" s="77" t="str">
        <f t="shared" si="42"/>
        <v>Unsecured Note 1</v>
      </c>
      <c r="C173" s="167">
        <v>0</v>
      </c>
      <c r="D173" s="78">
        <f t="shared" si="43"/>
        <v>0</v>
      </c>
      <c r="E173" s="78">
        <f t="shared" si="44"/>
        <v>0</v>
      </c>
      <c r="F173" s="78">
        <f t="shared" si="46"/>
        <v>0</v>
      </c>
      <c r="G173" s="78">
        <f t="shared" si="46"/>
        <v>0</v>
      </c>
      <c r="H173" s="78">
        <f t="shared" si="46"/>
        <v>0</v>
      </c>
      <c r="I173" s="78">
        <f t="shared" si="46"/>
        <v>0</v>
      </c>
      <c r="J173" s="78">
        <f t="shared" si="46"/>
        <v>0</v>
      </c>
      <c r="K173" s="78">
        <f t="shared" si="46"/>
        <v>0</v>
      </c>
      <c r="L173" s="78">
        <f t="shared" si="46"/>
        <v>0</v>
      </c>
      <c r="M173" s="78">
        <f t="shared" si="46"/>
        <v>0</v>
      </c>
    </row>
    <row r="174" spans="2:13">
      <c r="B174" s="77" t="str">
        <f t="shared" si="42"/>
        <v>Unsecured Note 2</v>
      </c>
      <c r="C174" s="167">
        <v>0</v>
      </c>
      <c r="D174" s="78">
        <f t="shared" si="43"/>
        <v>0</v>
      </c>
      <c r="E174" s="78">
        <f t="shared" si="44"/>
        <v>0</v>
      </c>
      <c r="F174" s="78">
        <f t="shared" si="46"/>
        <v>0</v>
      </c>
      <c r="G174" s="78">
        <f t="shared" si="46"/>
        <v>0</v>
      </c>
      <c r="H174" s="78">
        <f t="shared" si="46"/>
        <v>0</v>
      </c>
      <c r="I174" s="78">
        <f t="shared" si="46"/>
        <v>0</v>
      </c>
      <c r="J174" s="78">
        <f t="shared" si="46"/>
        <v>0</v>
      </c>
      <c r="K174" s="78">
        <f t="shared" si="46"/>
        <v>0</v>
      </c>
      <c r="L174" s="78">
        <f t="shared" si="46"/>
        <v>0</v>
      </c>
      <c r="M174" s="78">
        <f t="shared" si="46"/>
        <v>0</v>
      </c>
    </row>
    <row r="175" spans="2:13">
      <c r="B175" s="77" t="str">
        <f t="shared" ref="B175:B183" si="47">J8</f>
        <v>Debt 1</v>
      </c>
      <c r="C175" s="78">
        <f>BS!E35</f>
        <v>115680</v>
      </c>
      <c r="D175" s="78">
        <f t="shared" ref="D175:D183" si="48">-M8</f>
        <v>-115680</v>
      </c>
      <c r="E175" s="78">
        <f t="shared" si="44"/>
        <v>0</v>
      </c>
      <c r="F175" s="78">
        <f t="shared" si="46"/>
        <v>0</v>
      </c>
      <c r="G175" s="78">
        <f t="shared" si="46"/>
        <v>0</v>
      </c>
      <c r="H175" s="78">
        <f t="shared" si="46"/>
        <v>0</v>
      </c>
      <c r="I175" s="78">
        <f t="shared" si="46"/>
        <v>0</v>
      </c>
      <c r="J175" s="78">
        <f t="shared" si="46"/>
        <v>0</v>
      </c>
      <c r="K175" s="78">
        <f t="shared" si="46"/>
        <v>0</v>
      </c>
      <c r="L175" s="78">
        <f t="shared" si="46"/>
        <v>0</v>
      </c>
      <c r="M175" s="78">
        <f t="shared" si="46"/>
        <v>0</v>
      </c>
    </row>
    <row r="176" spans="2:13">
      <c r="B176" s="77" t="str">
        <f t="shared" si="47"/>
        <v>Debt 2</v>
      </c>
      <c r="C176" s="78">
        <f>BS!E36</f>
        <v>0</v>
      </c>
      <c r="D176" s="78">
        <f t="shared" si="48"/>
        <v>0</v>
      </c>
      <c r="E176" s="78">
        <f t="shared" si="44"/>
        <v>0</v>
      </c>
      <c r="F176" s="78">
        <f t="shared" si="46"/>
        <v>0</v>
      </c>
      <c r="G176" s="78">
        <f t="shared" si="46"/>
        <v>0</v>
      </c>
      <c r="H176" s="78">
        <f t="shared" si="46"/>
        <v>0</v>
      </c>
      <c r="I176" s="78">
        <f t="shared" si="46"/>
        <v>0</v>
      </c>
      <c r="J176" s="78">
        <f t="shared" si="46"/>
        <v>0</v>
      </c>
      <c r="K176" s="78">
        <f t="shared" si="46"/>
        <v>0</v>
      </c>
      <c r="L176" s="78">
        <f t="shared" si="46"/>
        <v>0</v>
      </c>
      <c r="M176" s="78">
        <f t="shared" si="46"/>
        <v>0</v>
      </c>
    </row>
    <row r="177" spans="2:13">
      <c r="B177" s="77" t="str">
        <f t="shared" si="47"/>
        <v>Debt 3</v>
      </c>
      <c r="C177" s="78">
        <f>BS!E37</f>
        <v>0</v>
      </c>
      <c r="D177" s="78">
        <f t="shared" si="48"/>
        <v>0</v>
      </c>
      <c r="E177" s="78">
        <f t="shared" si="44"/>
        <v>0</v>
      </c>
      <c r="F177" s="78">
        <f t="shared" si="46"/>
        <v>0</v>
      </c>
      <c r="G177" s="78">
        <f t="shared" si="46"/>
        <v>0</v>
      </c>
      <c r="H177" s="78">
        <f t="shared" si="46"/>
        <v>0</v>
      </c>
      <c r="I177" s="78">
        <f t="shared" si="46"/>
        <v>0</v>
      </c>
      <c r="J177" s="78">
        <f t="shared" si="46"/>
        <v>0</v>
      </c>
      <c r="K177" s="78">
        <f t="shared" si="46"/>
        <v>0</v>
      </c>
      <c r="L177" s="78">
        <f t="shared" si="46"/>
        <v>0</v>
      </c>
      <c r="M177" s="78">
        <f t="shared" si="46"/>
        <v>0</v>
      </c>
    </row>
    <row r="178" spans="2:13">
      <c r="B178" s="77" t="str">
        <f t="shared" si="47"/>
        <v>Debt 4</v>
      </c>
      <c r="C178" s="78">
        <f>BS!E38</f>
        <v>0</v>
      </c>
      <c r="D178" s="78">
        <f t="shared" si="48"/>
        <v>0</v>
      </c>
      <c r="E178" s="78">
        <f t="shared" si="44"/>
        <v>0</v>
      </c>
      <c r="F178" s="78">
        <f t="shared" si="46"/>
        <v>0</v>
      </c>
      <c r="G178" s="78">
        <f t="shared" si="46"/>
        <v>0</v>
      </c>
      <c r="H178" s="78">
        <f t="shared" si="46"/>
        <v>0</v>
      </c>
      <c r="I178" s="78">
        <f t="shared" si="46"/>
        <v>0</v>
      </c>
      <c r="J178" s="78">
        <f t="shared" si="46"/>
        <v>0</v>
      </c>
      <c r="K178" s="78">
        <f t="shared" si="46"/>
        <v>0</v>
      </c>
      <c r="L178" s="78">
        <f t="shared" si="46"/>
        <v>0</v>
      </c>
      <c r="M178" s="78">
        <f t="shared" si="46"/>
        <v>0</v>
      </c>
    </row>
    <row r="179" spans="2:13">
      <c r="B179" s="77" t="str">
        <f t="shared" si="47"/>
        <v>Debt 5</v>
      </c>
      <c r="C179" s="78">
        <f>BS!E39</f>
        <v>0</v>
      </c>
      <c r="D179" s="78">
        <f t="shared" si="48"/>
        <v>0</v>
      </c>
      <c r="E179" s="78">
        <f t="shared" si="44"/>
        <v>0</v>
      </c>
      <c r="F179" s="78">
        <f t="shared" si="46"/>
        <v>0</v>
      </c>
      <c r="G179" s="78">
        <f t="shared" si="46"/>
        <v>0</v>
      </c>
      <c r="H179" s="78">
        <f t="shared" si="46"/>
        <v>0</v>
      </c>
      <c r="I179" s="78">
        <f t="shared" si="46"/>
        <v>0</v>
      </c>
      <c r="J179" s="78">
        <f t="shared" si="46"/>
        <v>0</v>
      </c>
      <c r="K179" s="78">
        <f t="shared" si="46"/>
        <v>0</v>
      </c>
      <c r="L179" s="78">
        <f t="shared" si="46"/>
        <v>0</v>
      </c>
      <c r="M179" s="78">
        <f t="shared" si="46"/>
        <v>0</v>
      </c>
    </row>
    <row r="180" spans="2:13">
      <c r="B180" s="77" t="str">
        <f t="shared" si="47"/>
        <v>Debt 6</v>
      </c>
      <c r="C180" s="78">
        <f>BS!E40</f>
        <v>0</v>
      </c>
      <c r="D180" s="78">
        <f t="shared" si="48"/>
        <v>0</v>
      </c>
      <c r="E180" s="78">
        <f t="shared" si="44"/>
        <v>0</v>
      </c>
      <c r="F180" s="78">
        <f t="shared" si="46"/>
        <v>0</v>
      </c>
      <c r="G180" s="78">
        <f t="shared" si="46"/>
        <v>0</v>
      </c>
      <c r="H180" s="78">
        <f t="shared" si="46"/>
        <v>0</v>
      </c>
      <c r="I180" s="78">
        <f t="shared" si="46"/>
        <v>0</v>
      </c>
      <c r="J180" s="78">
        <f t="shared" si="46"/>
        <v>0</v>
      </c>
      <c r="K180" s="78">
        <f t="shared" si="46"/>
        <v>0</v>
      </c>
      <c r="L180" s="78">
        <f t="shared" si="46"/>
        <v>0</v>
      </c>
      <c r="M180" s="78">
        <f t="shared" si="46"/>
        <v>0</v>
      </c>
    </row>
    <row r="181" spans="2:13">
      <c r="B181" s="77" t="str">
        <f t="shared" si="47"/>
        <v>Debt 7</v>
      </c>
      <c r="C181" s="78">
        <f>BS!E41</f>
        <v>0</v>
      </c>
      <c r="D181" s="78">
        <f t="shared" si="48"/>
        <v>0</v>
      </c>
      <c r="E181" s="78">
        <f t="shared" si="44"/>
        <v>0</v>
      </c>
      <c r="F181" s="78">
        <f t="shared" si="46"/>
        <v>0</v>
      </c>
      <c r="G181" s="78">
        <f t="shared" si="46"/>
        <v>0</v>
      </c>
      <c r="H181" s="78">
        <f t="shared" si="46"/>
        <v>0</v>
      </c>
      <c r="I181" s="78">
        <f t="shared" si="46"/>
        <v>0</v>
      </c>
      <c r="J181" s="78">
        <f t="shared" si="46"/>
        <v>0</v>
      </c>
      <c r="K181" s="78">
        <f t="shared" si="46"/>
        <v>0</v>
      </c>
      <c r="L181" s="78">
        <f t="shared" si="46"/>
        <v>0</v>
      </c>
      <c r="M181" s="78">
        <f t="shared" si="46"/>
        <v>0</v>
      </c>
    </row>
    <row r="182" spans="2:13">
      <c r="B182" s="77" t="str">
        <f t="shared" si="47"/>
        <v>Debt 8</v>
      </c>
      <c r="C182" s="78">
        <f>BS!E42</f>
        <v>0</v>
      </c>
      <c r="D182" s="78">
        <f t="shared" si="48"/>
        <v>0</v>
      </c>
      <c r="E182" s="78">
        <f t="shared" si="44"/>
        <v>0</v>
      </c>
      <c r="F182" s="78">
        <f t="shared" si="46"/>
        <v>0</v>
      </c>
      <c r="G182" s="78">
        <f t="shared" si="46"/>
        <v>0</v>
      </c>
      <c r="H182" s="78">
        <f t="shared" si="46"/>
        <v>0</v>
      </c>
      <c r="I182" s="78">
        <f t="shared" si="46"/>
        <v>0</v>
      </c>
      <c r="J182" s="78">
        <f t="shared" si="46"/>
        <v>0</v>
      </c>
      <c r="K182" s="78">
        <f t="shared" si="46"/>
        <v>0</v>
      </c>
      <c r="L182" s="78">
        <f t="shared" si="46"/>
        <v>0</v>
      </c>
      <c r="M182" s="78">
        <f t="shared" si="46"/>
        <v>0</v>
      </c>
    </row>
    <row r="183" spans="2:13">
      <c r="B183" s="77" t="str">
        <f t="shared" si="47"/>
        <v>Debt 9</v>
      </c>
      <c r="C183" s="78">
        <f>BS!E43</f>
        <v>0</v>
      </c>
      <c r="D183" s="78">
        <f t="shared" si="48"/>
        <v>0</v>
      </c>
      <c r="E183" s="78">
        <f t="shared" si="44"/>
        <v>0</v>
      </c>
      <c r="F183" s="78">
        <f t="shared" si="46"/>
        <v>0</v>
      </c>
      <c r="G183" s="78">
        <f t="shared" si="46"/>
        <v>0</v>
      </c>
      <c r="H183" s="78">
        <f t="shared" si="46"/>
        <v>0</v>
      </c>
      <c r="I183" s="78">
        <f t="shared" si="46"/>
        <v>0</v>
      </c>
      <c r="J183" s="78">
        <f t="shared" si="46"/>
        <v>0</v>
      </c>
      <c r="K183" s="78">
        <f t="shared" si="46"/>
        <v>0</v>
      </c>
      <c r="L183" s="78">
        <f t="shared" si="46"/>
        <v>0</v>
      </c>
      <c r="M183" s="78">
        <f t="shared" si="46"/>
        <v>0</v>
      </c>
    </row>
    <row r="184" spans="2:13">
      <c r="B184" s="76"/>
      <c r="C184" s="177">
        <f>C158+SUM(C161:C164)+SUM(C167:C183)</f>
        <v>241272</v>
      </c>
      <c r="D184" s="76"/>
      <c r="E184" s="177">
        <f t="shared" ref="E184:M184" si="49">E158+SUM(E161:E164)+SUM(E167:E183)</f>
        <v>125592</v>
      </c>
      <c r="F184" s="177">
        <f t="shared" si="49"/>
        <v>130783.20333056635</v>
      </c>
      <c r="G184" s="177">
        <f t="shared" si="49"/>
        <v>136301.68701987603</v>
      </c>
      <c r="H184" s="177">
        <f t="shared" si="49"/>
        <v>142168.08451770904</v>
      </c>
      <c r="I184" s="177">
        <f t="shared" si="49"/>
        <v>148404.33011344195</v>
      </c>
      <c r="J184" s="177">
        <f t="shared" si="49"/>
        <v>155033.74094771701</v>
      </c>
      <c r="K184" s="177">
        <f t="shared" si="49"/>
        <v>162081.10419455179</v>
      </c>
      <c r="L184" s="177">
        <f t="shared" si="49"/>
        <v>169572.76973986102</v>
      </c>
      <c r="M184" s="177">
        <f t="shared" si="49"/>
        <v>177536.74870291224</v>
      </c>
    </row>
    <row r="185" spans="2:13">
      <c r="B185" s="76"/>
      <c r="C185" s="76"/>
      <c r="D185" s="76"/>
      <c r="E185" s="76"/>
      <c r="F185" s="76"/>
      <c r="G185" s="76"/>
      <c r="H185" s="76"/>
      <c r="I185" s="76"/>
      <c r="J185" s="76"/>
      <c r="K185" s="76"/>
      <c r="L185" s="76"/>
      <c r="M185" s="76"/>
    </row>
    <row r="186" spans="2:13">
      <c r="B186" s="76" t="s">
        <v>110</v>
      </c>
      <c r="C186" s="123">
        <f>BS!E56</f>
        <v>134047</v>
      </c>
      <c r="D186" s="178">
        <f>-C186+I19</f>
        <v>492453</v>
      </c>
      <c r="E186" s="178">
        <f>D186+C186</f>
        <v>626500</v>
      </c>
      <c r="F186" s="178">
        <f t="shared" ref="F186:M186" si="50">E186+F139</f>
        <v>670776.05173472792</v>
      </c>
      <c r="G186" s="178">
        <f t="shared" si="50"/>
        <v>717844.00745115033</v>
      </c>
      <c r="H186" s="178">
        <f t="shared" si="50"/>
        <v>767879.88324390294</v>
      </c>
      <c r="I186" s="178">
        <f t="shared" si="50"/>
        <v>821070.79217434162</v>
      </c>
      <c r="J186" s="178">
        <f t="shared" si="50"/>
        <v>877615.64388082875</v>
      </c>
      <c r="K186" s="178">
        <f t="shared" si="50"/>
        <v>937725.88829607761</v>
      </c>
      <c r="L186" s="178">
        <f t="shared" si="50"/>
        <v>1001626.3062522922</v>
      </c>
      <c r="M186" s="178">
        <f t="shared" si="50"/>
        <v>1069555.8499301516</v>
      </c>
    </row>
    <row r="187" spans="2:13">
      <c r="B187" s="76"/>
      <c r="C187" s="76"/>
      <c r="D187" s="76"/>
      <c r="E187" s="76"/>
      <c r="F187" s="76"/>
      <c r="G187" s="76"/>
      <c r="H187" s="76"/>
      <c r="I187" s="76"/>
      <c r="J187" s="76"/>
      <c r="K187" s="76"/>
      <c r="L187" s="76"/>
      <c r="M187" s="76"/>
    </row>
    <row r="188" spans="2:13">
      <c r="B188" s="81" t="s">
        <v>111</v>
      </c>
      <c r="C188" s="190" t="str">
        <f>IF(ABS(C156-C184-C186)&lt;2, "balances", "error")</f>
        <v>balances</v>
      </c>
      <c r="D188" s="87"/>
      <c r="E188" s="190" t="str">
        <f t="shared" ref="E188:M188" si="51">IF(ABS(E156-E184-E186)&lt;2, "balances", "error")</f>
        <v>balances</v>
      </c>
      <c r="F188" s="190" t="str">
        <f t="shared" si="51"/>
        <v>balances</v>
      </c>
      <c r="G188" s="190" t="str">
        <f t="shared" si="51"/>
        <v>balances</v>
      </c>
      <c r="H188" s="190" t="str">
        <f t="shared" si="51"/>
        <v>balances</v>
      </c>
      <c r="I188" s="190" t="str">
        <f t="shared" si="51"/>
        <v>balances</v>
      </c>
      <c r="J188" s="190" t="str">
        <f t="shared" si="51"/>
        <v>balances</v>
      </c>
      <c r="K188" s="190" t="str">
        <f t="shared" si="51"/>
        <v>balances</v>
      </c>
      <c r="L188" s="190" t="str">
        <f t="shared" si="51"/>
        <v>balances</v>
      </c>
      <c r="M188" s="190" t="str">
        <f t="shared" si="51"/>
        <v>balances</v>
      </c>
    </row>
    <row r="189" spans="2:13">
      <c r="B189" s="76"/>
      <c r="C189" s="76"/>
      <c r="D189" s="76"/>
      <c r="E189" s="76"/>
      <c r="F189" s="76"/>
      <c r="G189" s="76"/>
      <c r="H189" s="76"/>
      <c r="I189" s="76"/>
      <c r="J189" s="76"/>
      <c r="K189" s="76"/>
      <c r="L189" s="76"/>
      <c r="M189" s="76"/>
    </row>
    <row r="190" spans="2:13">
      <c r="B190" s="76" t="s">
        <v>112</v>
      </c>
      <c r="C190" s="76"/>
      <c r="D190" s="76"/>
      <c r="E190" s="178">
        <f t="shared" ref="E190:M190" si="52">E147-E158</f>
        <v>-27877</v>
      </c>
      <c r="F190" s="178">
        <f t="shared" si="52"/>
        <v>-29634.510538446193</v>
      </c>
      <c r="G190" s="178">
        <f t="shared" si="52"/>
        <v>-31502.823648645077</v>
      </c>
      <c r="H190" s="178">
        <f t="shared" si="52"/>
        <v>-33488.924898898185</v>
      </c>
      <c r="I190" s="178">
        <f t="shared" si="52"/>
        <v>-35600.240263931948</v>
      </c>
      <c r="J190" s="178">
        <f t="shared" si="52"/>
        <v>-37844.663890400989</v>
      </c>
      <c r="K190" s="178">
        <f t="shared" si="52"/>
        <v>-40230.587612872332</v>
      </c>
      <c r="L190" s="178">
        <f t="shared" si="52"/>
        <v>-42766.932330650656</v>
      </c>
      <c r="M190" s="178">
        <f t="shared" si="52"/>
        <v>-45463.181362760748</v>
      </c>
    </row>
    <row r="191" spans="2:13">
      <c r="B191" s="76" t="s">
        <v>113</v>
      </c>
      <c r="C191" s="76"/>
      <c r="D191" s="76"/>
      <c r="E191" s="76"/>
      <c r="F191" s="78">
        <f t="shared" ref="F191:M191" si="53">F190-E190</f>
        <v>-1757.5105384461931</v>
      </c>
      <c r="G191" s="78">
        <f t="shared" si="53"/>
        <v>-1868.3131101988838</v>
      </c>
      <c r="H191" s="78">
        <f t="shared" si="53"/>
        <v>-1986.1012502531084</v>
      </c>
      <c r="I191" s="78">
        <f t="shared" si="53"/>
        <v>-2111.3153650337626</v>
      </c>
      <c r="J191" s="78">
        <f t="shared" si="53"/>
        <v>-2244.4236264690408</v>
      </c>
      <c r="K191" s="78">
        <f t="shared" si="53"/>
        <v>-2385.9237224713434</v>
      </c>
      <c r="L191" s="78">
        <f t="shared" si="53"/>
        <v>-2536.3447177783237</v>
      </c>
      <c r="M191" s="78">
        <f t="shared" si="53"/>
        <v>-2696.2490321100922</v>
      </c>
    </row>
    <row r="192" spans="2:13">
      <c r="B192" s="76"/>
      <c r="C192" s="76"/>
      <c r="D192" s="76"/>
      <c r="E192" s="76"/>
      <c r="F192" s="76"/>
      <c r="G192" s="76"/>
      <c r="H192" s="76"/>
      <c r="I192" s="76"/>
      <c r="J192" s="76"/>
      <c r="K192" s="76"/>
      <c r="L192" s="76"/>
      <c r="M192" s="76"/>
    </row>
    <row r="193" spans="2:13">
      <c r="B193" s="76" t="s">
        <v>114</v>
      </c>
      <c r="C193" s="76"/>
      <c r="D193" s="76"/>
      <c r="E193" s="178">
        <f t="shared" ref="E193:M193" si="54">SUM(E151:E154)-SUM(E161:E163)</f>
        <v>351599</v>
      </c>
      <c r="F193" s="178">
        <f t="shared" si="54"/>
        <v>351599</v>
      </c>
      <c r="G193" s="178">
        <f t="shared" si="54"/>
        <v>351599</v>
      </c>
      <c r="H193" s="178">
        <f t="shared" si="54"/>
        <v>351599</v>
      </c>
      <c r="I193" s="178">
        <f t="shared" si="54"/>
        <v>351599</v>
      </c>
      <c r="J193" s="178">
        <f t="shared" si="54"/>
        <v>351599</v>
      </c>
      <c r="K193" s="178">
        <f t="shared" si="54"/>
        <v>351599</v>
      </c>
      <c r="L193" s="178">
        <f t="shared" si="54"/>
        <v>351599</v>
      </c>
      <c r="M193" s="178">
        <f t="shared" si="54"/>
        <v>351599</v>
      </c>
    </row>
    <row r="194" spans="2:13">
      <c r="B194" s="76" t="s">
        <v>115</v>
      </c>
      <c r="C194" s="76"/>
      <c r="D194" s="76"/>
      <c r="E194" s="76"/>
      <c r="F194" s="78">
        <f t="shared" ref="F194:M194" si="55">F193-E193</f>
        <v>0</v>
      </c>
      <c r="G194" s="78">
        <f t="shared" si="55"/>
        <v>0</v>
      </c>
      <c r="H194" s="78">
        <f t="shared" si="55"/>
        <v>0</v>
      </c>
      <c r="I194" s="78">
        <f t="shared" si="55"/>
        <v>0</v>
      </c>
      <c r="J194" s="78">
        <f t="shared" si="55"/>
        <v>0</v>
      </c>
      <c r="K194" s="78">
        <f t="shared" si="55"/>
        <v>0</v>
      </c>
      <c r="L194" s="78">
        <f t="shared" si="55"/>
        <v>0</v>
      </c>
      <c r="M194" s="78">
        <f t="shared" si="55"/>
        <v>0</v>
      </c>
    </row>
    <row r="195" spans="2:13">
      <c r="B195" s="76"/>
      <c r="C195" s="76"/>
      <c r="D195" s="76"/>
      <c r="E195" s="76"/>
      <c r="F195" s="76"/>
      <c r="G195" s="76"/>
      <c r="H195" s="76"/>
      <c r="I195" s="76"/>
      <c r="J195" s="76"/>
      <c r="K195" s="76"/>
      <c r="L195" s="76"/>
      <c r="M195" s="76"/>
    </row>
    <row r="196" spans="2:13">
      <c r="B196" s="76"/>
      <c r="C196" s="76"/>
      <c r="D196" s="76"/>
      <c r="E196" s="76"/>
      <c r="F196" s="76"/>
      <c r="G196" s="76"/>
      <c r="H196" s="76"/>
      <c r="I196" s="76"/>
      <c r="J196" s="76"/>
      <c r="K196" s="76"/>
      <c r="L196" s="76"/>
      <c r="M196" s="76"/>
    </row>
    <row r="197" spans="2:13">
      <c r="B197" s="73" t="s">
        <v>116</v>
      </c>
      <c r="C197" s="74"/>
      <c r="D197" s="74"/>
      <c r="E197" s="74"/>
      <c r="F197" s="74"/>
      <c r="G197" s="74"/>
      <c r="H197" s="74"/>
      <c r="I197" s="74"/>
      <c r="J197" s="74"/>
      <c r="K197" s="74"/>
      <c r="L197" s="74"/>
      <c r="M197" s="74"/>
    </row>
    <row r="198" spans="2:13" ht="3" customHeight="1">
      <c r="B198" s="76"/>
      <c r="C198" s="76"/>
      <c r="D198" s="76"/>
      <c r="E198" s="76"/>
      <c r="F198" s="76"/>
      <c r="G198" s="76"/>
      <c r="H198" s="76"/>
      <c r="I198" s="76"/>
      <c r="J198" s="76"/>
      <c r="K198" s="76"/>
      <c r="L198" s="76"/>
      <c r="M198" s="76"/>
    </row>
    <row r="199" spans="2:13">
      <c r="B199" s="76"/>
      <c r="C199" s="76"/>
      <c r="D199" s="76"/>
      <c r="E199" s="76"/>
      <c r="F199" s="176">
        <f t="shared" ref="F199:M199" si="56">F26</f>
        <v>2018</v>
      </c>
      <c r="G199" s="176">
        <f t="shared" si="56"/>
        <v>2019</v>
      </c>
      <c r="H199" s="176">
        <f t="shared" si="56"/>
        <v>2020</v>
      </c>
      <c r="I199" s="176">
        <f t="shared" si="56"/>
        <v>2021</v>
      </c>
      <c r="J199" s="176">
        <f t="shared" si="56"/>
        <v>2022</v>
      </c>
      <c r="K199" s="176">
        <f t="shared" si="56"/>
        <v>2023</v>
      </c>
      <c r="L199" s="176">
        <f t="shared" si="56"/>
        <v>2024</v>
      </c>
      <c r="M199" s="176">
        <f t="shared" si="56"/>
        <v>2025</v>
      </c>
    </row>
    <row r="200" spans="2:13" ht="3" customHeight="1">
      <c r="B200" s="76"/>
      <c r="C200" s="76"/>
      <c r="D200" s="76"/>
      <c r="E200" s="76"/>
      <c r="F200" s="76"/>
      <c r="G200" s="76"/>
      <c r="H200" s="76"/>
      <c r="I200" s="76"/>
      <c r="J200" s="76"/>
      <c r="K200" s="76"/>
      <c r="L200" s="76"/>
      <c r="M200" s="76"/>
    </row>
    <row r="201" spans="2:13">
      <c r="B201" s="76" t="s">
        <v>213</v>
      </c>
      <c r="C201" s="76"/>
      <c r="D201" s="76"/>
      <c r="E201" s="76"/>
      <c r="F201" s="78">
        <f>1</f>
        <v>1</v>
      </c>
      <c r="G201" s="78">
        <f>2</f>
        <v>2</v>
      </c>
      <c r="H201" s="78">
        <f>3</f>
        <v>3</v>
      </c>
      <c r="I201" s="78">
        <f>4</f>
        <v>4</v>
      </c>
      <c r="J201" s="78">
        <f>5</f>
        <v>5</v>
      </c>
      <c r="K201" s="78">
        <f>6</f>
        <v>6</v>
      </c>
      <c r="L201" s="78">
        <f>7</f>
        <v>7</v>
      </c>
      <c r="M201" s="78">
        <f>8</f>
        <v>8</v>
      </c>
    </row>
    <row r="202" spans="2:13">
      <c r="B202" s="76" t="s">
        <v>214</v>
      </c>
      <c r="C202" s="76"/>
      <c r="D202" s="76"/>
      <c r="E202" s="76"/>
      <c r="F202" s="191">
        <f>C6</f>
        <v>5</v>
      </c>
      <c r="G202" s="82">
        <f t="shared" ref="G202:M202" si="57">F202</f>
        <v>5</v>
      </c>
      <c r="H202" s="82">
        <f t="shared" si="57"/>
        <v>5</v>
      </c>
      <c r="I202" s="82">
        <f t="shared" si="57"/>
        <v>5</v>
      </c>
      <c r="J202" s="82">
        <f t="shared" si="57"/>
        <v>5</v>
      </c>
      <c r="K202" s="82">
        <f t="shared" si="57"/>
        <v>5</v>
      </c>
      <c r="L202" s="82">
        <f t="shared" si="57"/>
        <v>5</v>
      </c>
      <c r="M202" s="82">
        <f t="shared" si="57"/>
        <v>5</v>
      </c>
    </row>
    <row r="203" spans="2:13">
      <c r="B203" s="76" t="s">
        <v>215</v>
      </c>
      <c r="C203" s="76"/>
      <c r="D203" s="76"/>
      <c r="E203" s="76"/>
      <c r="F203" s="178">
        <f t="shared" ref="F203:M203" si="58">F202*F28</f>
        <v>380043.96778875811</v>
      </c>
      <c r="G203" s="178">
        <f t="shared" si="58"/>
        <v>404003.90890371474</v>
      </c>
      <c r="H203" s="178">
        <f t="shared" si="58"/>
        <v>429474.40886682912</v>
      </c>
      <c r="I203" s="178">
        <f t="shared" si="58"/>
        <v>456550.70113559545</v>
      </c>
      <c r="J203" s="178">
        <f t="shared" si="58"/>
        <v>485334.02317816863</v>
      </c>
      <c r="K203" s="178">
        <f t="shared" si="58"/>
        <v>515931.9949973069</v>
      </c>
      <c r="L203" s="178">
        <f t="shared" si="58"/>
        <v>548459.02151842962</v>
      </c>
      <c r="M203" s="178">
        <f t="shared" si="58"/>
        <v>583036.7203462997</v>
      </c>
    </row>
    <row r="204" spans="2:13">
      <c r="B204" s="76" t="s">
        <v>189</v>
      </c>
      <c r="C204" s="76"/>
      <c r="D204" s="76"/>
      <c r="E204" s="76"/>
      <c r="F204" s="78">
        <f t="shared" ref="F204:M204" si="59">SUM(F167:F183)-F145</f>
        <v>-312136.74908307404</v>
      </c>
      <c r="G204" s="78">
        <f t="shared" si="59"/>
        <v>-358104.4062841573</v>
      </c>
      <c r="H204" s="78">
        <f t="shared" si="59"/>
        <v>-406969.82697664853</v>
      </c>
      <c r="I204" s="78">
        <f t="shared" si="59"/>
        <v>-458915.70118723903</v>
      </c>
      <c r="J204" s="78">
        <f t="shared" si="59"/>
        <v>-514136.23666860146</v>
      </c>
      <c r="K204" s="78">
        <f t="shared" si="59"/>
        <v>-572837.88503652019</v>
      </c>
      <c r="L204" s="78">
        <f t="shared" si="59"/>
        <v>-635240.11368646985</v>
      </c>
      <c r="M204" s="78">
        <f t="shared" si="59"/>
        <v>-701576.22637581429</v>
      </c>
    </row>
    <row r="205" spans="2:13">
      <c r="B205" s="76" t="s">
        <v>216</v>
      </c>
      <c r="C205" s="76"/>
      <c r="D205" s="76"/>
      <c r="E205" s="178">
        <f>E186</f>
        <v>626500</v>
      </c>
      <c r="F205" s="178">
        <f t="shared" ref="F205:M205" si="60">F203-F204</f>
        <v>692180.71687183215</v>
      </c>
      <c r="G205" s="178">
        <f t="shared" si="60"/>
        <v>762108.31518787204</v>
      </c>
      <c r="H205" s="178">
        <f t="shared" si="60"/>
        <v>836444.23584347765</v>
      </c>
      <c r="I205" s="178">
        <f t="shared" si="60"/>
        <v>915466.40232283447</v>
      </c>
      <c r="J205" s="178">
        <f t="shared" si="60"/>
        <v>999470.25984677009</v>
      </c>
      <c r="K205" s="178">
        <f t="shared" si="60"/>
        <v>1088769.8800338272</v>
      </c>
      <c r="L205" s="178">
        <f t="shared" si="60"/>
        <v>1183699.1352048996</v>
      </c>
      <c r="M205" s="178">
        <f t="shared" si="60"/>
        <v>1284612.946722114</v>
      </c>
    </row>
    <row r="206" spans="2:13">
      <c r="B206" s="76" t="s">
        <v>217</v>
      </c>
      <c r="C206" s="76"/>
      <c r="D206" s="76"/>
      <c r="E206" s="76"/>
      <c r="F206" s="192">
        <f>(F205/E205)^(1/F201)-1</f>
        <v>0.10483753690635611</v>
      </c>
      <c r="G206" s="192">
        <f>(G205/E205)^(1/G201)-1</f>
        <v>0.10292965104046825</v>
      </c>
      <c r="H206" s="192">
        <f>(H205/E205)^(1/H201)-1</f>
        <v>0.10113011174950315</v>
      </c>
      <c r="I206" s="192">
        <f>(I205/E205)^(1/I201)-1</f>
        <v>9.9462278543528182E-2</v>
      </c>
      <c r="J206" s="192">
        <f>(J205/E205)^(1/J201)-1</f>
        <v>9.7917633038798524E-2</v>
      </c>
      <c r="K206" s="192">
        <f>(K205/E205)^(1/K201)-1</f>
        <v>9.64845175132234E-2</v>
      </c>
      <c r="L206" s="192">
        <f>(L205/E205)^(1/L201)-1</f>
        <v>9.5151802105321259E-2</v>
      </c>
      <c r="M206" s="192">
        <f>(M205/E205)^(1/M201)-1</f>
        <v>9.3909521305371557E-2</v>
      </c>
    </row>
    <row r="207" spans="2:13">
      <c r="B207" s="76"/>
      <c r="C207" s="76"/>
      <c r="D207" s="76"/>
      <c r="E207" s="76"/>
      <c r="F207" s="76"/>
      <c r="G207" s="76"/>
      <c r="H207" s="76"/>
      <c r="I207" s="76"/>
      <c r="J207" s="76"/>
      <c r="K207" s="76"/>
      <c r="L207" s="76"/>
      <c r="M207" s="76"/>
    </row>
    <row r="208" spans="2:13">
      <c r="B208" s="76" t="s">
        <v>117</v>
      </c>
      <c r="C208" s="76"/>
      <c r="D208" s="76"/>
      <c r="E208" s="76"/>
      <c r="F208" s="192">
        <f t="shared" ref="F208:M208" si="61">F139/AVERAGE(E186:F186)</f>
        <v>6.8260030971082311E-2</v>
      </c>
      <c r="G208" s="192">
        <f t="shared" si="61"/>
        <v>6.7790977676093087E-2</v>
      </c>
      <c r="H208" s="192">
        <f t="shared" si="61"/>
        <v>6.7355551197800026E-2</v>
      </c>
      <c r="I208" s="192">
        <f t="shared" si="61"/>
        <v>6.6950988162596925E-2</v>
      </c>
      <c r="J208" s="192">
        <f t="shared" si="61"/>
        <v>6.6574796273525597E-2</v>
      </c>
      <c r="K208" s="192">
        <f t="shared" si="61"/>
        <v>6.6224722290319005E-2</v>
      </c>
      <c r="L208" s="192">
        <f t="shared" si="61"/>
        <v>6.5898724466698075E-2</v>
      </c>
      <c r="M208" s="192">
        <f t="shared" si="61"/>
        <v>6.5594948735040792E-2</v>
      </c>
    </row>
    <row r="209" spans="2:13">
      <c r="B209" s="76" t="s">
        <v>118</v>
      </c>
      <c r="C209" s="76"/>
      <c r="D209" s="76"/>
      <c r="E209" s="76"/>
      <c r="F209" s="192">
        <f t="shared" ref="F209:M209" si="62">F139/AVERAGE(E156:F156)</f>
        <v>5.6996126499273075E-2</v>
      </c>
      <c r="G209" s="192">
        <f t="shared" si="62"/>
        <v>5.6855487119977288E-2</v>
      </c>
      <c r="H209" s="192">
        <f t="shared" si="62"/>
        <v>5.6723790436284401E-2</v>
      </c>
      <c r="I209" s="192">
        <f t="shared" si="62"/>
        <v>5.6600431473327342E-2</v>
      </c>
      <c r="J209" s="192">
        <f t="shared" si="62"/>
        <v>5.6484850473089675E-2</v>
      </c>
      <c r="K209" s="192">
        <f t="shared" si="62"/>
        <v>5.6376529015629097E-2</v>
      </c>
      <c r="L209" s="192">
        <f t="shared" si="62"/>
        <v>5.627498652956512E-2</v>
      </c>
      <c r="M209" s="192">
        <f t="shared" si="62"/>
        <v>5.6179777146515571E-2</v>
      </c>
    </row>
    <row r="210" spans="2:13">
      <c r="B210" s="76"/>
      <c r="C210" s="76"/>
      <c r="D210" s="76"/>
      <c r="E210" s="76"/>
      <c r="F210" s="76"/>
      <c r="G210" s="76"/>
      <c r="H210" s="76"/>
      <c r="I210" s="76"/>
      <c r="J210" s="76"/>
      <c r="K210" s="76"/>
      <c r="L210" s="76"/>
      <c r="M210" s="76"/>
    </row>
    <row r="211" spans="2:13">
      <c r="B211" s="76"/>
      <c r="C211" s="76"/>
      <c r="D211" s="76"/>
      <c r="E211" s="76"/>
      <c r="F211" s="76"/>
      <c r="G211" s="76"/>
      <c r="H211" s="76"/>
      <c r="I211" s="76"/>
      <c r="J211" s="76"/>
      <c r="K211" s="76"/>
      <c r="L211" s="76"/>
      <c r="M211" s="76"/>
    </row>
    <row r="212" spans="2:13">
      <c r="B212" s="73" t="s">
        <v>119</v>
      </c>
      <c r="C212" s="74"/>
      <c r="D212" s="74"/>
      <c r="E212" s="74"/>
      <c r="F212" s="74"/>
      <c r="G212" s="74"/>
      <c r="H212" s="74"/>
      <c r="I212" s="74"/>
      <c r="J212" s="74"/>
      <c r="K212" s="74"/>
      <c r="L212" s="74"/>
      <c r="M212" s="74"/>
    </row>
    <row r="213" spans="2:13" ht="3" customHeight="1">
      <c r="B213" s="76"/>
      <c r="C213" s="76"/>
      <c r="D213" s="76"/>
      <c r="E213" s="76"/>
      <c r="F213" s="76"/>
      <c r="G213" s="76"/>
      <c r="H213" s="76"/>
      <c r="I213" s="76"/>
      <c r="J213" s="76"/>
      <c r="K213" s="76"/>
      <c r="L213" s="76"/>
      <c r="M213" s="76"/>
    </row>
    <row r="214" spans="2:13">
      <c r="B214" s="76"/>
      <c r="C214" s="76"/>
      <c r="D214" s="76"/>
      <c r="E214" s="76"/>
      <c r="F214" s="176">
        <f t="shared" ref="F214:M214" si="63">F26</f>
        <v>2018</v>
      </c>
      <c r="G214" s="176">
        <f t="shared" si="63"/>
        <v>2019</v>
      </c>
      <c r="H214" s="176">
        <f t="shared" si="63"/>
        <v>2020</v>
      </c>
      <c r="I214" s="176">
        <f t="shared" si="63"/>
        <v>2021</v>
      </c>
      <c r="J214" s="176">
        <f t="shared" si="63"/>
        <v>2022</v>
      </c>
      <c r="K214" s="176">
        <f t="shared" si="63"/>
        <v>2023</v>
      </c>
      <c r="L214" s="176">
        <f t="shared" si="63"/>
        <v>2024</v>
      </c>
      <c r="M214" s="176">
        <f t="shared" si="63"/>
        <v>2025</v>
      </c>
    </row>
    <row r="215" spans="2:13" ht="3" customHeight="1">
      <c r="B215" s="76"/>
      <c r="C215" s="76"/>
      <c r="D215" s="76"/>
      <c r="E215" s="76"/>
      <c r="F215" s="76"/>
      <c r="G215" s="76"/>
      <c r="H215" s="76"/>
      <c r="I215" s="76"/>
      <c r="J215" s="76"/>
      <c r="K215" s="76"/>
      <c r="L215" s="76"/>
      <c r="M215" s="76"/>
    </row>
    <row r="216" spans="2:13">
      <c r="B216" s="76" t="s">
        <v>120</v>
      </c>
      <c r="C216" s="76"/>
      <c r="D216" s="76"/>
      <c r="E216" s="76"/>
      <c r="F216" s="82">
        <f t="shared" ref="F216:M216" si="64">SUM(F167:F183)/F28</f>
        <v>0</v>
      </c>
      <c r="G216" s="82">
        <f t="shared" si="64"/>
        <v>0</v>
      </c>
      <c r="H216" s="82">
        <f t="shared" si="64"/>
        <v>0</v>
      </c>
      <c r="I216" s="82">
        <f t="shared" si="64"/>
        <v>0</v>
      </c>
      <c r="J216" s="82">
        <f t="shared" si="64"/>
        <v>0</v>
      </c>
      <c r="K216" s="82">
        <f t="shared" si="64"/>
        <v>0</v>
      </c>
      <c r="L216" s="82">
        <f t="shared" si="64"/>
        <v>0</v>
      </c>
      <c r="M216" s="82">
        <f t="shared" si="64"/>
        <v>0</v>
      </c>
    </row>
    <row r="217" spans="2:13">
      <c r="B217" s="76" t="s">
        <v>121</v>
      </c>
      <c r="C217" s="76"/>
      <c r="D217" s="76"/>
      <c r="E217" s="76"/>
      <c r="F217" s="82">
        <f t="shared" ref="F217:M217" si="65">F203/F28</f>
        <v>5</v>
      </c>
      <c r="G217" s="82">
        <f t="shared" si="65"/>
        <v>5</v>
      </c>
      <c r="H217" s="82">
        <f t="shared" si="65"/>
        <v>5</v>
      </c>
      <c r="I217" s="82">
        <f t="shared" si="65"/>
        <v>5</v>
      </c>
      <c r="J217" s="82">
        <f t="shared" si="65"/>
        <v>5</v>
      </c>
      <c r="K217" s="82">
        <f t="shared" si="65"/>
        <v>5</v>
      </c>
      <c r="L217" s="82">
        <f t="shared" si="65"/>
        <v>5</v>
      </c>
      <c r="M217" s="82">
        <f t="shared" si="65"/>
        <v>5</v>
      </c>
    </row>
    <row r="218" spans="2:13">
      <c r="B218" s="76" t="s">
        <v>122</v>
      </c>
      <c r="C218" s="76"/>
      <c r="D218" s="76"/>
      <c r="E218" s="76"/>
      <c r="F218" s="82" t="e">
        <f t="shared" ref="F218:M218" si="66">(F28+F30)/(-F126)</f>
        <v>#DIV/0!</v>
      </c>
      <c r="G218" s="82" t="e">
        <f t="shared" si="66"/>
        <v>#DIV/0!</v>
      </c>
      <c r="H218" s="82" t="e">
        <f t="shared" si="66"/>
        <v>#DIV/0!</v>
      </c>
      <c r="I218" s="82" t="e">
        <f t="shared" si="66"/>
        <v>#DIV/0!</v>
      </c>
      <c r="J218" s="82" t="e">
        <f t="shared" si="66"/>
        <v>#DIV/0!</v>
      </c>
      <c r="K218" s="82" t="e">
        <f t="shared" si="66"/>
        <v>#DIV/0!</v>
      </c>
      <c r="L218" s="82" t="e">
        <f t="shared" si="66"/>
        <v>#DIV/0!</v>
      </c>
      <c r="M218" s="82" t="e">
        <f t="shared" si="66"/>
        <v>#DIV/0!</v>
      </c>
    </row>
    <row r="219" spans="2:13">
      <c r="B219" s="76" t="s">
        <v>123</v>
      </c>
      <c r="C219" s="76"/>
      <c r="D219" s="76"/>
      <c r="E219" s="76"/>
      <c r="F219" s="82">
        <f t="shared" ref="F219:M219" si="67">SUM(F167:F183)/(SUM(F167:F183)+F186)</f>
        <v>0</v>
      </c>
      <c r="G219" s="82">
        <f t="shared" si="67"/>
        <v>0</v>
      </c>
      <c r="H219" s="82">
        <f t="shared" si="67"/>
        <v>0</v>
      </c>
      <c r="I219" s="82">
        <f t="shared" si="67"/>
        <v>0</v>
      </c>
      <c r="J219" s="82">
        <f t="shared" si="67"/>
        <v>0</v>
      </c>
      <c r="K219" s="82">
        <f t="shared" si="67"/>
        <v>0</v>
      </c>
      <c r="L219" s="82">
        <f t="shared" si="67"/>
        <v>0</v>
      </c>
      <c r="M219" s="82">
        <f t="shared" si="67"/>
        <v>0</v>
      </c>
    </row>
  </sheetData>
  <pageMargins left="0.7" right="0.7" top="0.75" bottom="0.75" header="0.3" footer="0.3"/>
  <pageSetup scale="49"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23"/>
  <sheetViews>
    <sheetView zoomScale="75" zoomScaleNormal="75" workbookViewId="0"/>
  </sheetViews>
  <sheetFormatPr defaultColWidth="9" defaultRowHeight="15"/>
  <cols>
    <col min="1" max="4" width="9" style="195"/>
    <col min="5" max="5" width="29.5703125" style="195" customWidth="1"/>
    <col min="6" max="13" width="9.5703125" style="195" customWidth="1"/>
    <col min="14" max="16384" width="9" style="195"/>
  </cols>
  <sheetData>
    <row r="3" spans="2:13">
      <c r="B3" s="36" t="s">
        <v>293</v>
      </c>
      <c r="C3" s="23"/>
      <c r="D3" s="23"/>
      <c r="E3" s="23"/>
      <c r="F3" s="23"/>
      <c r="G3" s="23"/>
      <c r="H3" s="23"/>
      <c r="I3" s="23"/>
      <c r="J3" s="23"/>
      <c r="K3" s="23"/>
      <c r="L3" s="23"/>
      <c r="M3" s="23"/>
    </row>
    <row r="4" spans="2:13" ht="3" customHeight="1"/>
    <row r="5" spans="2:13">
      <c r="F5" s="134">
        <f>IS!H5</f>
        <v>2018</v>
      </c>
      <c r="G5" s="134">
        <f>IS!I5</f>
        <v>2019</v>
      </c>
      <c r="H5" s="134">
        <f>IS!J5</f>
        <v>2020</v>
      </c>
      <c r="I5" s="134">
        <f>IS!K5</f>
        <v>2021</v>
      </c>
      <c r="J5" s="134">
        <f>IS!L5</f>
        <v>2022</v>
      </c>
      <c r="K5" s="134">
        <f>IS!M5</f>
        <v>2023</v>
      </c>
      <c r="L5" s="134">
        <f>IS!N5</f>
        <v>2024</v>
      </c>
      <c r="M5" s="134">
        <f>IS!O5</f>
        <v>2025</v>
      </c>
    </row>
    <row r="7" spans="2:13">
      <c r="B7" s="195" t="s">
        <v>3</v>
      </c>
      <c r="F7" s="123">
        <f>IS!H8</f>
        <v>243686.09924920814</v>
      </c>
      <c r="G7" s="123">
        <f>IS!I8</f>
        <v>259049.33372577769</v>
      </c>
      <c r="H7" s="123">
        <f>IS!J8</f>
        <v>275381.14611593873</v>
      </c>
      <c r="I7" s="123">
        <f>IS!K8</f>
        <v>292742.60059052904</v>
      </c>
      <c r="J7" s="123">
        <f>IS!L8</f>
        <v>311198.61112215009</v>
      </c>
      <c r="K7" s="123">
        <f>IS!M8</f>
        <v>330818.18419662002</v>
      </c>
      <c r="L7" s="123">
        <f>IS!N8</f>
        <v>351674.67682621413</v>
      </c>
      <c r="M7" s="123">
        <f>IS!O8</f>
        <v>373846.07082939713</v>
      </c>
    </row>
    <row r="9" spans="2:13">
      <c r="B9" s="195" t="str">
        <f>CF!B7</f>
        <v>EBITDA</v>
      </c>
      <c r="F9" s="123">
        <f>LBO!F28</f>
        <v>76008.793557751618</v>
      </c>
      <c r="G9" s="123">
        <f>LBO!G28</f>
        <v>80800.781780742953</v>
      </c>
      <c r="H9" s="123">
        <f>LBO!H28</f>
        <v>85894.881773365822</v>
      </c>
      <c r="I9" s="123">
        <f>LBO!I28</f>
        <v>91310.140227119089</v>
      </c>
      <c r="J9" s="123">
        <f>LBO!J28</f>
        <v>97066.804635633729</v>
      </c>
      <c r="K9" s="123">
        <f>LBO!K28</f>
        <v>103186.39899946138</v>
      </c>
      <c r="L9" s="123">
        <f>LBO!L28</f>
        <v>109691.80430368592</v>
      </c>
      <c r="M9" s="123">
        <f>LBO!M28</f>
        <v>116607.34406925994</v>
      </c>
    </row>
    <row r="10" spans="2:13">
      <c r="B10" s="195" t="str">
        <f>CF!B8</f>
        <v>Total other non-operating income</v>
      </c>
      <c r="F10" s="124">
        <f>LBO!F29</f>
        <v>2918.0590245734766</v>
      </c>
      <c r="G10" s="124">
        <f>LBO!G29</f>
        <v>3102.0285868468891</v>
      </c>
      <c r="H10" s="124">
        <f>LBO!H29</f>
        <v>3297.596543655181</v>
      </c>
      <c r="I10" s="124">
        <f>LBO!I29</f>
        <v>3505.4941178926433</v>
      </c>
      <c r="J10" s="124">
        <f>LBO!J29</f>
        <v>3726.4986325340133</v>
      </c>
      <c r="K10" s="124">
        <f>LBO!K29</f>
        <v>3961.4364170224394</v>
      </c>
      <c r="L10" s="124">
        <f>LBO!L29</f>
        <v>4211.185896891202</v>
      </c>
      <c r="M10" s="124">
        <f>LBO!M29</f>
        <v>4476.6808781711925</v>
      </c>
    </row>
    <row r="11" spans="2:13">
      <c r="B11" s="195" t="str">
        <f>CF!B9</f>
        <v>CapEx</v>
      </c>
      <c r="F11" s="124">
        <f>LBO!F30</f>
        <v>-13601.663103612982</v>
      </c>
      <c r="G11" s="124">
        <f>LBO!G30</f>
        <v>-14459.182429401073</v>
      </c>
      <c r="H11" s="124">
        <f>LBO!H30</f>
        <v>-15370.764217146827</v>
      </c>
      <c r="I11" s="124">
        <f>LBO!I30</f>
        <v>-16339.816844603414</v>
      </c>
      <c r="J11" s="124">
        <f>LBO!J30</f>
        <v>-17369.963571319746</v>
      </c>
      <c r="K11" s="124">
        <f>LBO!K30</f>
        <v>-18465.056085902408</v>
      </c>
      <c r="L11" s="124">
        <f>LBO!L30</f>
        <v>-19629.188907367188</v>
      </c>
      <c r="M11" s="124">
        <f>LBO!M30</f>
        <v>-20866.714694426377</v>
      </c>
    </row>
    <row r="12" spans="2:13">
      <c r="B12" s="195" t="str">
        <f>CF!B10</f>
        <v>Interest Expense (income) + minority interest</v>
      </c>
      <c r="F12" s="124">
        <f>LBO!F31</f>
        <v>0</v>
      </c>
      <c r="G12" s="124">
        <f>LBO!G31</f>
        <v>0</v>
      </c>
      <c r="H12" s="124">
        <f>LBO!H31</f>
        <v>0</v>
      </c>
      <c r="I12" s="124">
        <f>LBO!I31</f>
        <v>0</v>
      </c>
      <c r="J12" s="124">
        <f>LBO!J31</f>
        <v>0</v>
      </c>
      <c r="K12" s="124">
        <f>LBO!K31</f>
        <v>0</v>
      </c>
      <c r="L12" s="124">
        <f>LBO!L31</f>
        <v>0</v>
      </c>
      <c r="M12" s="124">
        <f>LBO!M31</f>
        <v>0</v>
      </c>
    </row>
    <row r="13" spans="2:13">
      <c r="B13" s="195" t="str">
        <f>CF!B11</f>
        <v>Taxes</v>
      </c>
      <c r="F13" s="124">
        <f>LBO!F32</f>
        <v>-23840.950934084278</v>
      </c>
      <c r="G13" s="124">
        <f>LBO!G32</f>
        <v>-25344.283847304407</v>
      </c>
      <c r="H13" s="124">
        <f>LBO!H32</f>
        <v>-26942.394657636039</v>
      </c>
      <c r="I13" s="124">
        <f>LBO!I32</f>
        <v>-28641.258654851572</v>
      </c>
      <c r="J13" s="124">
        <f>LBO!J32</f>
        <v>-30447.227841954595</v>
      </c>
      <c r="K13" s="124">
        <f>LBO!K32</f>
        <v>-32367.054685134026</v>
      </c>
      <c r="L13" s="124">
        <f>LBO!L32</f>
        <v>-34407.91736103865</v>
      </c>
      <c r="M13" s="124">
        <f>LBO!M32</f>
        <v>-36577.446595770409</v>
      </c>
    </row>
    <row r="14" spans="2:13">
      <c r="B14" s="195" t="str">
        <f>CF!B12</f>
        <v>Change in WC</v>
      </c>
      <c r="F14" s="124">
        <f>LBO!F33</f>
        <v>1757.5105384461931</v>
      </c>
      <c r="G14" s="124">
        <f>LBO!G33</f>
        <v>1868.3131101988838</v>
      </c>
      <c r="H14" s="124">
        <f>LBO!H33</f>
        <v>1986.1012502531084</v>
      </c>
      <c r="I14" s="124">
        <f>LBO!I33</f>
        <v>2111.3153650337626</v>
      </c>
      <c r="J14" s="124">
        <f>LBO!J33</f>
        <v>2244.4236264690408</v>
      </c>
      <c r="K14" s="124">
        <f>LBO!K33</f>
        <v>2385.9237224713434</v>
      </c>
      <c r="L14" s="124">
        <f>LBO!L33</f>
        <v>2536.3447177783237</v>
      </c>
      <c r="M14" s="124">
        <f>LBO!M33</f>
        <v>2696.2490321100922</v>
      </c>
    </row>
    <row r="15" spans="2:13">
      <c r="B15" s="195" t="str">
        <f>CF!B13</f>
        <v>Change in Long-Term Net Assets (Ex. PPE, Amort. fees, Debt)</v>
      </c>
      <c r="F15" s="124">
        <f>LBO!F34</f>
        <v>0</v>
      </c>
      <c r="G15" s="124">
        <f>LBO!G34</f>
        <v>0</v>
      </c>
      <c r="H15" s="124">
        <f>LBO!H34</f>
        <v>0</v>
      </c>
      <c r="I15" s="124">
        <f>LBO!I34</f>
        <v>0</v>
      </c>
      <c r="J15" s="124">
        <f>LBO!J34</f>
        <v>0</v>
      </c>
      <c r="K15" s="124">
        <f>LBO!K34</f>
        <v>0</v>
      </c>
      <c r="L15" s="124">
        <f>LBO!L34</f>
        <v>0</v>
      </c>
      <c r="M15" s="124">
        <f>LBO!M34</f>
        <v>0</v>
      </c>
    </row>
    <row r="16" spans="2:13">
      <c r="B16" s="195" t="str">
        <f>CF!B14</f>
        <v>FCF</v>
      </c>
      <c r="F16" s="121">
        <f>SUM(F9:F15)</f>
        <v>43241.749083074028</v>
      </c>
      <c r="G16" s="121">
        <f t="shared" ref="G16:M16" si="0">SUM(G9:G15)</f>
        <v>45967.657201083246</v>
      </c>
      <c r="H16" s="121">
        <f t="shared" si="0"/>
        <v>48865.420692491236</v>
      </c>
      <c r="I16" s="121">
        <f t="shared" si="0"/>
        <v>51945.874210590511</v>
      </c>
      <c r="J16" s="121">
        <f t="shared" si="0"/>
        <v>55220.535481362444</v>
      </c>
      <c r="K16" s="121">
        <f t="shared" si="0"/>
        <v>58701.648367918729</v>
      </c>
      <c r="L16" s="121">
        <f t="shared" si="0"/>
        <v>62402.228649949597</v>
      </c>
      <c r="M16" s="121">
        <f t="shared" si="0"/>
        <v>66336.112689344431</v>
      </c>
    </row>
    <row r="18" spans="2:13">
      <c r="B18" s="195" t="s">
        <v>30</v>
      </c>
      <c r="F18" s="123">
        <f>LBO!F145</f>
        <v>312136.74908307404</v>
      </c>
      <c r="G18" s="123">
        <f>LBO!G145</f>
        <v>358104.4062841573</v>
      </c>
      <c r="H18" s="123">
        <f>LBO!H145</f>
        <v>406969.82697664853</v>
      </c>
      <c r="I18" s="123">
        <f>LBO!I145</f>
        <v>458915.70118723903</v>
      </c>
      <c r="J18" s="123">
        <f>LBO!J145</f>
        <v>514136.23666860146</v>
      </c>
      <c r="K18" s="123">
        <f>LBO!K145</f>
        <v>572837.88503652019</v>
      </c>
      <c r="L18" s="123">
        <f>LBO!L145</f>
        <v>635240.11368646985</v>
      </c>
      <c r="M18" s="123">
        <f>LBO!M145</f>
        <v>701576.22637581429</v>
      </c>
    </row>
    <row r="19" spans="2:13">
      <c r="B19" s="195" t="s">
        <v>109</v>
      </c>
      <c r="F19" s="123">
        <f>LBO!E184</f>
        <v>125592</v>
      </c>
      <c r="G19" s="123">
        <f>LBO!F184</f>
        <v>130783.20333056635</v>
      </c>
      <c r="H19" s="123">
        <f>LBO!G184</f>
        <v>136301.68701987603</v>
      </c>
      <c r="I19" s="123">
        <f>LBO!H184</f>
        <v>142168.08451770904</v>
      </c>
      <c r="J19" s="123">
        <f>LBO!I184</f>
        <v>148404.33011344195</v>
      </c>
      <c r="K19" s="123">
        <f>LBO!J184</f>
        <v>155033.74094771701</v>
      </c>
      <c r="L19" s="123">
        <f>LBO!K184</f>
        <v>162081.10419455179</v>
      </c>
      <c r="M19" s="123">
        <f>LBO!L184</f>
        <v>169572.76973986102</v>
      </c>
    </row>
    <row r="20" spans="2:13">
      <c r="F20" s="123"/>
      <c r="G20" s="123"/>
      <c r="H20" s="123"/>
      <c r="I20" s="123"/>
      <c r="J20" s="123"/>
      <c r="K20" s="123"/>
      <c r="L20" s="123"/>
      <c r="M20" s="123"/>
    </row>
    <row r="21" spans="2:13">
      <c r="B21" s="27" t="s">
        <v>294</v>
      </c>
      <c r="C21" s="27"/>
      <c r="D21" s="27"/>
      <c r="E21" s="27"/>
      <c r="F21" s="197">
        <f>F19/F9</f>
        <v>1.6523351328366365</v>
      </c>
      <c r="G21" s="197">
        <f t="shared" ref="G21:M21" si="1">G19/G9</f>
        <v>1.6185883409575572</v>
      </c>
      <c r="H21" s="197">
        <f t="shared" si="1"/>
        <v>1.5868429434422981</v>
      </c>
      <c r="I21" s="197">
        <f t="shared" si="1"/>
        <v>1.5569802451741843</v>
      </c>
      <c r="J21" s="197">
        <f t="shared" si="1"/>
        <v>1.5288885903941865</v>
      </c>
      <c r="K21" s="197">
        <f t="shared" si="1"/>
        <v>1.5024629452232969</v>
      </c>
      <c r="L21" s="197">
        <f t="shared" si="1"/>
        <v>1.4776045049439073</v>
      </c>
      <c r="M21" s="197">
        <f t="shared" si="1"/>
        <v>1.4542203245718537</v>
      </c>
    </row>
    <row r="22" spans="2:13">
      <c r="B22" s="27" t="s">
        <v>295</v>
      </c>
      <c r="F22" s="197">
        <f>(F19-F18)/F9</f>
        <v>-2.4542522036129544</v>
      </c>
      <c r="G22" s="197">
        <f t="shared" ref="G22:M22" si="2">(G19-G18)/G9</f>
        <v>-2.8133540040545482</v>
      </c>
      <c r="H22" s="197">
        <f t="shared" si="2"/>
        <v>-3.1511556261400075</v>
      </c>
      <c r="I22" s="197">
        <f t="shared" si="2"/>
        <v>-3.4689204931858821</v>
      </c>
      <c r="J22" s="197">
        <f t="shared" si="2"/>
        <v>-3.7678370883643715</v>
      </c>
      <c r="K22" s="197">
        <f t="shared" si="2"/>
        <v>-4.049023399789192</v>
      </c>
      <c r="L22" s="197">
        <f t="shared" si="2"/>
        <v>-4.3135311019404821</v>
      </c>
      <c r="M22" s="197">
        <f t="shared" si="2"/>
        <v>-4.5623494890679028</v>
      </c>
    </row>
    <row r="23" spans="2:13">
      <c r="B23" s="27" t="s">
        <v>296</v>
      </c>
      <c r="F23" s="197" t="e">
        <f>(F9+F11)/F12</f>
        <v>#DIV/0!</v>
      </c>
      <c r="G23" s="197" t="e">
        <f t="shared" ref="G23:M23" si="3">(G9+G11)/G12</f>
        <v>#DIV/0!</v>
      </c>
      <c r="H23" s="197" t="e">
        <f t="shared" si="3"/>
        <v>#DIV/0!</v>
      </c>
      <c r="I23" s="197" t="e">
        <f t="shared" si="3"/>
        <v>#DIV/0!</v>
      </c>
      <c r="J23" s="197" t="e">
        <f t="shared" si="3"/>
        <v>#DIV/0!</v>
      </c>
      <c r="K23" s="197" t="e">
        <f t="shared" si="3"/>
        <v>#DIV/0!</v>
      </c>
      <c r="L23" s="197" t="e">
        <f t="shared" si="3"/>
        <v>#DIV/0!</v>
      </c>
      <c r="M23" s="197" t="e">
        <f t="shared" si="3"/>
        <v>#DIV/0!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1"/>
  <sheetViews>
    <sheetView showGridLines="0" workbookViewId="0"/>
  </sheetViews>
  <sheetFormatPr defaultColWidth="9.140625" defaultRowHeight="15"/>
  <cols>
    <col min="1" max="1" width="9.140625" style="87" customWidth="1"/>
    <col min="2" max="2" width="11.28515625" style="87" bestFit="1" customWidth="1"/>
    <col min="3" max="3" width="98" style="87" bestFit="1" customWidth="1"/>
    <col min="4" max="6" width="9.140625" style="87" customWidth="1"/>
    <col min="7" max="16384" width="9.140625" style="87"/>
  </cols>
  <sheetData>
    <row r="3" spans="1:3">
      <c r="A3" s="97"/>
      <c r="B3" s="98"/>
      <c r="C3" s="85"/>
    </row>
    <row r="4" spans="1:3">
      <c r="A4" s="99"/>
      <c r="B4" s="100" t="s">
        <v>218</v>
      </c>
      <c r="C4" s="86" t="s">
        <v>219</v>
      </c>
    </row>
    <row r="5" spans="1:3">
      <c r="A5" s="101"/>
      <c r="B5" s="102"/>
      <c r="C5" s="86"/>
    </row>
    <row r="6" spans="1:3">
      <c r="A6" s="103"/>
      <c r="B6" s="104" t="s">
        <v>220</v>
      </c>
      <c r="C6" s="86" t="s">
        <v>221</v>
      </c>
    </row>
    <row r="7" spans="1:3">
      <c r="A7" s="101"/>
      <c r="B7" s="102"/>
      <c r="C7" s="86"/>
    </row>
    <row r="8" spans="1:3">
      <c r="A8" s="105"/>
      <c r="B8" s="106" t="s">
        <v>222</v>
      </c>
      <c r="C8" s="86" t="s">
        <v>223</v>
      </c>
    </row>
    <row r="9" spans="1:3">
      <c r="A9" s="101"/>
      <c r="B9" s="102"/>
      <c r="C9" s="86"/>
    </row>
    <row r="10" spans="1:3">
      <c r="A10" s="107"/>
      <c r="B10" s="108" t="s">
        <v>224</v>
      </c>
      <c r="C10" s="86" t="s">
        <v>225</v>
      </c>
    </row>
    <row r="11" spans="1:3">
      <c r="A11" s="109"/>
      <c r="B11" s="110"/>
      <c r="C11" s="111"/>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IS</vt:lpstr>
      <vt:lpstr>BS</vt:lpstr>
      <vt:lpstr>CF</vt:lpstr>
      <vt:lpstr>CF_output</vt:lpstr>
      <vt:lpstr>WC</vt:lpstr>
      <vt:lpstr>DCF</vt:lpstr>
      <vt:lpstr>LBO</vt:lpstr>
      <vt:lpstr>LBO output</vt:lpstr>
      <vt:lpstr>Color key</vt:lpstr>
      <vt:lpstr>As reported data&gt;&gt;</vt:lpstr>
      <vt:lpstr>IS_detailed</vt:lpstr>
      <vt:lpstr>BS_detailed</vt:lpstr>
      <vt:lpstr>CF_detailed</vt:lpstr>
      <vt:lpstr>Notice</vt:lpstr>
      <vt:lpstr>BS!Print_Area</vt:lpstr>
      <vt:lpstr>CF!Print_Area</vt:lpstr>
      <vt:lpstr>DCF!Print_Area</vt:lpstr>
      <vt:lpstr>IS!Print_Area</vt:lpstr>
      <vt:lpstr>LBO!Print_Area</vt:lpstr>
      <vt:lpstr>WC!Print_Area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Auto-Generated Model</dc:title>
  <dc:creator>Accretive Technologies - Namit Setia and Rishab Dugar</dc:creator>
  <cp:lastModifiedBy>namit</cp:lastModifiedBy>
  <dcterms:created xsi:type="dcterms:W3CDTF">2012-03-01T06:40:50Z</dcterms:created>
  <dcterms:modified xsi:type="dcterms:W3CDTF">2018-05-21T01:34:27Z</dcterms:modified>
</cp:coreProperties>
</file>